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tabRatio="666" activeTab="8"/>
  </bookViews>
  <sheets>
    <sheet name="Intro" sheetId="1" r:id="rId1"/>
    <sheet name="Comm #1" sheetId="2" r:id="rId2"/>
    <sheet name="Scénario 1" sheetId="3" r:id="rId3"/>
    <sheet name="Comm #2" sheetId="4" r:id="rId4"/>
    <sheet name="# 2" sheetId="5" r:id="rId5"/>
    <sheet name="Comm #3" sheetId="6" r:id="rId6"/>
    <sheet name="#3" sheetId="7" r:id="rId7"/>
    <sheet name="Comm #4" sheetId="8" r:id="rId8"/>
    <sheet name="#4" sheetId="9" r:id="rId9"/>
  </sheets>
  <definedNames/>
  <calcPr fullCalcOnLoad="1"/>
</workbook>
</file>

<file path=xl/sharedStrings.xml><?xml version="1.0" encoding="utf-8"?>
<sst xmlns="http://schemas.openxmlformats.org/spreadsheetml/2006/main" count="338" uniqueCount="116">
  <si>
    <t>Chaque exploitant peut modifier les nombres en bleu pour refléter les données de son entreprise.</t>
  </si>
  <si>
    <r>
      <t xml:space="preserve"> </t>
    </r>
    <r>
      <rPr>
        <i/>
        <u val="single"/>
        <sz val="18"/>
        <rFont val="Arial"/>
        <family val="2"/>
      </rPr>
      <t>Scénario # 2</t>
    </r>
  </si>
  <si>
    <t>Information sur les veaux</t>
  </si>
  <si>
    <t>Revenu</t>
  </si>
  <si>
    <t>$/tête</t>
  </si>
  <si>
    <t>$/lb</t>
  </si>
  <si>
    <t>Poids final sortie à la vente (lb)</t>
  </si>
  <si>
    <t>Prix de vente</t>
  </si>
  <si>
    <t>Poids de début (lb)</t>
  </si>
  <si>
    <t>Prix d'achat</t>
  </si>
  <si>
    <t>Durée d'engraissement (jours)</t>
  </si>
  <si>
    <t>Pertes par décès et shrink</t>
  </si>
  <si>
    <t>Gain visé (lb/jour)</t>
  </si>
  <si>
    <t xml:space="preserve">ASRA Veaux net 2012 75% </t>
  </si>
  <si>
    <t>Taux de mortalité et shrink (%)</t>
  </si>
  <si>
    <t>ASRA Bouvillons net</t>
  </si>
  <si>
    <t>Prévisions  au gain de poids</t>
  </si>
  <si>
    <t>Coût prévu du gain de poids</t>
  </si>
  <si>
    <t>Aliments ($/lb de gain)</t>
  </si>
  <si>
    <t>Aliments</t>
  </si>
  <si>
    <t>Santé, soins vétérin. ($/tête)</t>
  </si>
  <si>
    <t>Transport,frais comm. ($/tête)</t>
  </si>
  <si>
    <t>Commerc., transport ($/tête)</t>
  </si>
  <si>
    <t>** Parcage ($/tête/jour)</t>
  </si>
  <si>
    <t>Parcage</t>
  </si>
  <si>
    <t>Taux d'intérêt (%)</t>
  </si>
  <si>
    <t>Intérêts</t>
  </si>
  <si>
    <t>Marge bénéficiaire</t>
  </si>
  <si>
    <t>Prévisions du marché</t>
  </si>
  <si>
    <t>Point Mort ou Breakeven</t>
  </si>
  <si>
    <t>Valeur veau Début  ($/lb)</t>
  </si>
  <si>
    <t>Prix Vente  au Point Mort</t>
  </si>
  <si>
    <t>Prix de Vente fin  ($/lb)</t>
  </si>
  <si>
    <t>Prix veau Début au Point Mort</t>
  </si>
  <si>
    <t>Gain total (lb)</t>
  </si>
  <si>
    <t>GMQ (lb/jour)</t>
  </si>
  <si>
    <t>Besoins en aliments</t>
  </si>
  <si>
    <t>$/tonne</t>
  </si>
  <si>
    <t>lb /tête/jour  (tel que servi)</t>
  </si>
  <si>
    <t>Mat.Sèche</t>
  </si>
  <si>
    <t>Foin</t>
  </si>
  <si>
    <t>Ensilage de maïs</t>
  </si>
  <si>
    <t>Avoine ronde grains</t>
  </si>
  <si>
    <t xml:space="preserve">Orge grains </t>
  </si>
  <si>
    <t xml:space="preserve">  </t>
  </si>
  <si>
    <t>Supplément  60% boeuf.</t>
  </si>
  <si>
    <t>Sel et minéraux</t>
  </si>
  <si>
    <t xml:space="preserve">Moulée 18 % bœuf </t>
  </si>
  <si>
    <t>Maïs grain</t>
  </si>
  <si>
    <t>Autres</t>
  </si>
  <si>
    <t>Pâturages</t>
  </si>
  <si>
    <r>
      <t>Attention</t>
    </r>
    <r>
      <rPr>
        <i/>
        <sz val="11"/>
        <rFont val="Arial"/>
        <family val="2"/>
      </rPr>
      <t xml:space="preserve"> ce tableau n'est pas un logiciel de recommandations en alimentation. </t>
    </r>
  </si>
  <si>
    <t>Le GMQ optenu refaite seulement la durée visé  en semi-finition.</t>
  </si>
  <si>
    <t>Les aliments  et les prix de ce tableau sont des scénarios  d'aliments servi en moyenne à votre groupe d'animaux selon la période visée.</t>
  </si>
  <si>
    <t xml:space="preserve">La ration décrite devrait visé le gain de poids (GMQ) désiré. </t>
  </si>
  <si>
    <t>Coût total des aliments</t>
  </si>
  <si>
    <t>Coût aliments par lb de gain  (1)</t>
  </si>
  <si>
    <t>Matière Sèche consommée</t>
  </si>
  <si>
    <t>Quantité totale de MS servie (lb/tête/jour)</t>
  </si>
  <si>
    <t>Indice de consom. (en lb; base MS)</t>
  </si>
  <si>
    <t>(1)  Si moins de  $ 0.45 / lb =  Bien   ;  Si plus de  $ 0.50 / lb = Élevé</t>
  </si>
  <si>
    <t xml:space="preserve">** Le poste Parcage comprend l'électricité, le téléphone, les taxes, les assurances, la litière, l'enlèvement du fumier, </t>
  </si>
  <si>
    <t>le logement et la réparation du matériel.</t>
  </si>
  <si>
    <t>Élaboré par :</t>
  </si>
  <si>
    <t>Dennis Martin, spécialiste des parcs d'engraissement de bovins de boucherie</t>
  </si>
  <si>
    <t>John Molenhuis, chargé de programme, analyse des activités commerciales et des coûts de production</t>
  </si>
  <si>
    <t>Gaétan Bonneau agr. Mapaq Granby traduction et Pierre Dufort agr. MAPAQ Mont-Laurier révision et adaptation ASRA</t>
  </si>
  <si>
    <r>
      <t xml:space="preserve">Pour plus d'information, veuillez communiquer avec votre conseillère(er) en gestion </t>
    </r>
    <r>
      <rPr>
        <sz val="10"/>
        <color indexed="8"/>
        <rFont val="Arial"/>
        <family val="2"/>
      </rPr>
      <t>.</t>
    </r>
  </si>
  <si>
    <t xml:space="preserve"> $ Outil de calcul des coûts approximatifs de semi-finition  $</t>
  </si>
  <si>
    <r>
      <t xml:space="preserve"> </t>
    </r>
    <r>
      <rPr>
        <i/>
        <u val="single"/>
        <sz val="18"/>
        <rFont val="Arial"/>
        <family val="2"/>
      </rPr>
      <t>Scénario # 3</t>
    </r>
  </si>
  <si>
    <t>ASRA Veaux 2012 net  75%</t>
  </si>
  <si>
    <t>Avoine grains</t>
  </si>
  <si>
    <t xml:space="preserve">Orge locale </t>
  </si>
  <si>
    <t>Supplément  32% boeuf.</t>
  </si>
  <si>
    <t>Maïs Grain sec</t>
  </si>
  <si>
    <t>Gaétan Bonneau agr. Mapaq Granby adaptation et Pierre Dufort agr. MAPAQ Mont-Laurier révision</t>
  </si>
  <si>
    <t>Parcs d'engraissement - Outils de calcul des coûts de semi-finition d'un bovin, et des coûts de production semi-finition à partir d’un veau</t>
  </si>
  <si>
    <t>Élaborés par :</t>
  </si>
  <si>
    <t>Dennis Martin, spécialiste des parcs d'engraissement de bovins de boucherie OMAF</t>
  </si>
  <si>
    <t>John Molenhuis, chargé de programme, analyse des activités commerciales et des coûts de production OMAF</t>
  </si>
  <si>
    <t>Gaétan Bonneau agr Mapaq Granby adaptation</t>
  </si>
  <si>
    <t>Pierre Dufort agr. Mapaq Mont-Laurier, adaptation</t>
  </si>
  <si>
    <t>Pour plus d'information, veuillez communiquer avec le : 450 776 7106 poste 242</t>
  </si>
  <si>
    <t>La partie alimentation n'est pas un logiciel d'alimentation, bien vous assurer de bien valider  tous les chiffres en bleu qui auront une influence sur vos simulations</t>
  </si>
  <si>
    <t>Version  Janvier 2012</t>
  </si>
  <si>
    <t>Balle rondes  demi-sec</t>
  </si>
  <si>
    <t>ASRA Veaux 2011 net  2/3</t>
  </si>
  <si>
    <r>
      <t xml:space="preserve"> </t>
    </r>
    <r>
      <rPr>
        <i/>
        <u val="single"/>
        <sz val="18"/>
        <rFont val="Arial"/>
        <family val="2"/>
      </rPr>
      <t>Scénario # 1</t>
    </r>
  </si>
  <si>
    <r>
      <t>Ces programmes, qui tiennent en une page, se concentrent sur les aspects économiques de la semi-finition . Ils permettent notamment de calculer le coût total du gain de poids, l'indice de consommation et le rendement net par animal. Les coûts d'intérêt et les pertes par décès sont établis d'après une moyenne entre le prix d'achat et le prix de vente (p. ex. pour un prix d'achat de 900 $/tête  Ces programmes permettent non seulement d'évaluer les rendements passés, mais également d'établir des prévisions. Ils permettent d'étudier divers scénarios. Il suffit de remplacer les valeurs inscrites en bleu dans les budgets des coûts de production.</t>
    </r>
    <r>
      <rPr>
        <b/>
        <sz val="10"/>
        <rFont val="Arial"/>
        <family val="2"/>
      </rPr>
      <t>Un ajustement au revenu a été estimé selon les modifications au régime Assurance-Stabilisation de La Financière au Québec, en 2012 75% de la compensation sera payé pour les livres de vendu.Les  veau devront entre 450 et 750 livres à la vente</t>
    </r>
    <r>
      <rPr>
        <sz val="10"/>
        <rFont val="Arial"/>
        <family val="0"/>
      </rPr>
      <t>.Les valeurs de compensations sont approximatives  selon ;es informations connus présentement</t>
    </r>
    <r>
      <rPr>
        <b/>
        <sz val="10"/>
        <color indexed="12"/>
        <rFont val="Arial"/>
        <family val="2"/>
      </rPr>
      <t xml:space="preserve"> </t>
    </r>
  </si>
  <si>
    <r>
      <t xml:space="preserve"> </t>
    </r>
    <r>
      <rPr>
        <i/>
        <u val="single"/>
        <sz val="18"/>
        <rFont val="Arial"/>
        <family val="2"/>
      </rPr>
      <t>Scénario # 4</t>
    </r>
  </si>
  <si>
    <t>Commentaires du scénario #1</t>
  </si>
  <si>
    <t>Commentaires du scénario #2</t>
  </si>
  <si>
    <t>Un gain de 2,41 livres / jour avec un très bon foin de balles rondes enrobés, avoine ronde et moulée 18%</t>
  </si>
  <si>
    <t>Commentaires du scénario #3</t>
  </si>
  <si>
    <t>Commentaires du scénario #4</t>
  </si>
  <si>
    <t xml:space="preserve">Vêlages regroupés du 11 déc. 2010 au 28 mars 2011
Vente 14 nov 2011, 57 veaux mâles  direct à un  PARC </t>
  </si>
  <si>
    <t>Lot de 37 veaux  femelles pour suivi coût semi-finition, croisements terminal CH ou LM non gardées  remplacement, hors groupe vente directe  PARC 
Sevrage à 245 jours (PATBQ 227 jrs) le 22 septembre 2011. Info Prix FPBQ semaine 19 septembre 600-700, prix moyen 1.32 $ / lb
Soins sevrage femelle $ 6.07/tête; aucun implant, Noromectin injectable (vermif.), Dystosel (vit E), Tasvax 8 (charbon), Pyramid FP4 (vaccin vivant att.)</t>
  </si>
  <si>
    <t>Pesée à la ferme post-sevrage - 01 nov 2011 (810 lbs)
Lot 37 femelles vendues 04 nov 2011 encan St-  Isidore moyenne poids 758 lbs et prix $ 1.26 / lb
Coût transport de Mont-Laurier $ 19/veau +                $ 3.00/veau pour foin et eau arrivée à l’ encan
Freinte  transport 3%(direct parc) à 8%(encan)
Shrink réel 04 nov. 2011; - 52 lbs sur 810 lbs = 6.4 %</t>
  </si>
  <si>
    <t xml:space="preserve">Gain post-sevrage &gt; 2,59 lb/jour, 0% mortalité, 
Ration semi-finition aucun grains ni concentrés;  BR 4x4 2ème coupe  ensilage graminée, analyse 46.9% M.S., 15.1% P.B. et 0.91 Mcal/kg ENG
Prix fourrage 2011-2012 &gt; 120 $/TMS ($ 30/ BR 4x4)
Semi-finition poids 758 lbs vs ASRA, si prix vente      &lt; ou = 1,16 $/lb (- $ 0,10/lb), strate 700-800 lb  ?
</t>
  </si>
  <si>
    <t xml:space="preserve">Groupe 148 veaux de vêlage printemps; av.-mai-juin 
Veaux croisés  AN, SM et LM 
Logés dans un seul parc extérieur, enclos avec brise-vent ( aucun accès bâtiment)
Poids moyen lot sevrage &lt; 550 lbs à 239 jours d’âge
Traitements sevrage; Synovex S + Ivomec + Charbon 
Prix moyen FPBQ veau sevrage encan spécial 
  semaine du 08 janvier 2012 strate 500 à 600 lb  (mâles à $ 1.71/ lb et femelles à   $ 1.50/ lb)
</t>
  </si>
  <si>
    <t xml:space="preserve">Semi-finition 109 jours  jusqu’à poids à la ferme de 779 lbs 
Ration 2010 et 2011; BR Ensilage et grains à volonté en mangeoire (mélange ¼ supp. bouv. méd. 32%, ½  maïs cassé, ¼ orge roulée) vs économie main d’œuvre sans RTM; GMQ réel obtenu 2.66 Lbs/jour
Ration 2012 aucun grain/moulée vs prix; vise GMQ 2.15 lbs
50 % Ensilage balle ronde non hachée à volonté en mangeoire, 2è cpe brome-luz-fét.(17% PB, 33% ADF, 0.77 Mcal/kg ENG et 56% MS)      &amp; 
    50 % Maïs Fourrager 2200 UTM(7.8% PB,1.09 Mcal/kg ENG)
</t>
  </si>
  <si>
    <t>Pour obtenir un coût total du gain de poids inférieur à   0,80 $/lb et une marge bénéficiaire supérieure 
à 100 $ par veau semi-fini vendu :</t>
  </si>
  <si>
    <r>
      <t>Quelques facteurs clés de réussite  en semi-finition</t>
    </r>
    <r>
      <rPr>
        <u val="single"/>
        <sz val="10"/>
        <rFont val="Arial"/>
        <family val="2"/>
      </rPr>
      <t xml:space="preserve"> </t>
    </r>
  </si>
  <si>
    <r>
      <t xml:space="preserve">Un gain de 2,61 livres / jour avec un très bon ensilage de balles rondes enrobés et une </t>
    </r>
    <r>
      <rPr>
        <b/>
        <sz val="11"/>
        <rFont val="Arial"/>
        <family val="2"/>
      </rPr>
      <t>excellente régie et beaucoup de génétique</t>
    </r>
  </si>
  <si>
    <t>Pour obtenir une valeur de référence des fourrages( foin sec, ensilage d’herbes ou maïs) à $ 100 par tonne sèche;
inscrire dans la section valeur des aliments $ / tonne,  le même chiffre que le taux de Matière Sèche 
( ex. $ 43/tonne divisé par 43 % Mat. Sèche= $ 100 par tonne sèche )</t>
  </si>
  <si>
    <t xml:space="preserve">1-Écart de baisse prix du marché de moins de 
   0,20 $/ lb, entre date de vente et début de semi-finition
2-Coût d’alimentation inférieure à 0,55 $/ lb de gain
3-Durée minimale &gt; 45 jours vs adaptation au changement aliments après sevrage </t>
  </si>
  <si>
    <t>4-Gain moyen quotidien égale ou supérieur à 2,2 lb/jour
    Mortalité inférieure à 3%
5-Freinte (shrink) transport à moins de 6 %
6-Utiliser le gain au pâturage lorsque possible (économie + 0,70 $/tête/jour)
7-Faire un gain modéré ( ex. 2.2 lbs/jour) avec des fourrages de qualité, peut-être   rentable  
8-Regrouper si possible en parc des veaux homogènes; éviter les écarts de poids extrême ex. 450 à 750 lbs</t>
  </si>
  <si>
    <t>C'est une situation avec les conditions de vente et de prévision de l'ASRA de 2011. Veaux vendus à l'automne 2011</t>
  </si>
  <si>
    <t>C'est une situation avec les conditions de vente et PRÉVISIONS ASRA de 2012. Veaux vendu à l'hiver 2012</t>
  </si>
  <si>
    <t>Entreprise spécialisée vache-veau avec semi-finition
169 vaches croisées SM x AA, 2 périodes vêlages,  groupe 1- automne (fin août à début nov.) et groupe 2-printemps ( début avril à début juin) 
Sevrage &lt; 211 jours vs GMQ naiss-sev.  2.44 lbs/jour</t>
  </si>
  <si>
    <t>Lot veaux(68% mâles), sevrage 28 nov. 2011 à 631 lbs
Prix moyen veaux sevrage strate  600-700  lbs  encan spécial semaine du 28 nov au 04 déc. m/f = $ 1.52 / lb
Semi-finition en bâtiment froid pendant 88 jours,  jusqu’à poids final à la ferme de 843 lbs
Gain réel semi-f. 2011-2012 = 2.41 lbs/jr, 0 % mortalité
Poids moyen arrivée parc engraissement  = 812 lbs
Prix vente 1.51 $/lb, transport 30 $/tête et freinte 3.7 %</t>
  </si>
  <si>
    <r>
      <t>Alimentation balle ronde ensilage hachée à volonté</t>
    </r>
    <r>
      <rPr>
        <sz val="10"/>
        <rFont val="Arial"/>
        <family val="0"/>
      </rPr>
      <t>,  lotier-mil 2 ème coupe, 43.1% M.S.,16.8 % PB,0.76 Mcal/Kg ENG
Mélange 2/3 avoine ronde – 1/3  moulée 18 % PB
   distribué 2 x par jour vs ballonnement ( &gt; 18 pouces mangeoire par tête).</t>
    </r>
  </si>
  <si>
    <t>Un gain MODÉRÉ de 2,16 livres / jour avec un très bon foin de balles rondes enrobéset maïs ensilage</t>
  </si>
  <si>
    <t>Mortalité 2011-2012 &lt; 1.4 % ( 2 /148) gonflement  
Vente directe à un parc BASSES-LAURENTIDES,avec pesée du truck vide/plein. 
Le parc paie le transport. Prix à négocier 700-800 lbs $ 1.38 / lb 
Charges production Maïs Fourrager 2011 récolte forfait 268 TMS rendement réel = 12 462 Kg/Ha à 85% MS (idem RM zone FADQ)</t>
  </si>
  <si>
    <t xml:space="preserve">Un gain de 2,33 lbs / jour au pâturage et compléter  un très bon foin de balles rondes enrobées et 1,7 livres de maïs grain par jour  </t>
  </si>
  <si>
    <r>
      <t xml:space="preserve">C'est une situation avec les conditions de vente et de prévision de l'ASRA de 2012. </t>
    </r>
    <r>
      <rPr>
        <b/>
        <sz val="10"/>
        <rFont val="Arial"/>
        <family val="2"/>
      </rPr>
      <t>Semi-finition 128 jours au pâturages</t>
    </r>
    <r>
      <rPr>
        <sz val="10"/>
        <rFont val="Arial"/>
        <family val="0"/>
      </rPr>
      <t>, 100% mâles implantés Revalor G avec performances réelles 2010-2011 et hypothèse  de  prix/asra 2012Veaux vendu à été automne 2012</t>
    </r>
  </si>
</sst>
</file>

<file path=xl/styles.xml><?xml version="1.0" encoding="utf-8"?>
<styleSheet xmlns="http://schemas.openxmlformats.org/spreadsheetml/2006/main">
  <numFmts count="18">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quot;$&quot;* #,##0_);_(&quot;$&quot;* \(#,##0\);_(&quot;$&quot;* &quot;-&quot;??_);_(@_)"/>
    <numFmt numFmtId="165" formatCode="_(* #,##0_);_(* \(#,##0\);_(* &quot;-&quot;_);_(@_)"/>
    <numFmt numFmtId="166" formatCode="_(&quot;$&quot;* #,##0_);_(&quot;$&quot;* \(#,##0\);_(&quot;$&quot;* &quot;-&quot;_);_(@_)"/>
    <numFmt numFmtId="167" formatCode="0.0"/>
    <numFmt numFmtId="168" formatCode="_(* #,##0.00_);_(* \(#,##0.00\);_(* &quot;-&quot;??_);_(@_)"/>
    <numFmt numFmtId="169" formatCode="_(&quot;$&quot;* #,##0.00_);_(&quot;$&quot;* \(#,##0.00\);_(&quot;$&quot;* &quot;-&quot;??_);_(@_)"/>
    <numFmt numFmtId="170" formatCode="_(* #,##0.0_);_(* \(#,##0.0\);_(* &quot;-&quot;?_);_(@_)"/>
    <numFmt numFmtId="171" formatCode="_-* #,##0.00_-;\-* #,##0.00_-;_-* &quot;-&quot;??_-;_-@_-"/>
    <numFmt numFmtId="172" formatCode="_(* #,##0.00_);_(* \(#,##0.00\);_(* &quot;-&quot;?_);_(@_)"/>
    <numFmt numFmtId="173" formatCode="_(&quot;$&quot;* #,##0.00_);_(&quot;$&quot;* \(#,##0.00\);_(&quot;$&quot;* &quot;-&quot;_);_(@_)"/>
  </numFmts>
  <fonts count="38">
    <font>
      <sz val="10"/>
      <name val="Arial"/>
      <family val="0"/>
    </font>
    <font>
      <b/>
      <sz val="12"/>
      <color indexed="12"/>
      <name val="Arial"/>
      <family val="2"/>
    </font>
    <font>
      <b/>
      <sz val="10"/>
      <name val="Arial"/>
      <family val="2"/>
    </font>
    <font>
      <i/>
      <u val="single"/>
      <sz val="18"/>
      <name val="Arial"/>
      <family val="2"/>
    </font>
    <font>
      <b/>
      <sz val="12"/>
      <color indexed="10"/>
      <name val="Arial"/>
      <family val="2"/>
    </font>
    <font>
      <sz val="12"/>
      <name val="Arial"/>
      <family val="2"/>
    </font>
    <font>
      <b/>
      <sz val="12"/>
      <name val="Arial"/>
      <family val="2"/>
    </font>
    <font>
      <b/>
      <sz val="12"/>
      <color indexed="8"/>
      <name val="Arial"/>
      <family val="2"/>
    </font>
    <font>
      <b/>
      <u val="single"/>
      <sz val="10"/>
      <name val="Arial"/>
      <family val="2"/>
    </font>
    <font>
      <sz val="12"/>
      <name val="Times New Roman"/>
      <family val="0"/>
    </font>
    <font>
      <b/>
      <i/>
      <u val="single"/>
      <sz val="14"/>
      <color indexed="8"/>
      <name val="Arial"/>
      <family val="2"/>
    </font>
    <font>
      <b/>
      <i/>
      <u val="single"/>
      <sz val="14"/>
      <color indexed="10"/>
      <name val="Arial"/>
      <family val="2"/>
    </font>
    <font>
      <sz val="10"/>
      <color indexed="10"/>
      <name val="Arial"/>
      <family val="2"/>
    </font>
    <font>
      <b/>
      <sz val="12"/>
      <color indexed="43"/>
      <name val="Arial"/>
      <family val="2"/>
    </font>
    <font>
      <b/>
      <sz val="11"/>
      <color indexed="10"/>
      <name val="Arial"/>
      <family val="2"/>
    </font>
    <font>
      <b/>
      <sz val="11"/>
      <color indexed="8"/>
      <name val="Arial"/>
      <family val="2"/>
    </font>
    <font>
      <b/>
      <sz val="14"/>
      <name val="Arial"/>
      <family val="2"/>
    </font>
    <font>
      <b/>
      <sz val="14"/>
      <color indexed="12"/>
      <name val="Arial"/>
      <family val="2"/>
    </font>
    <font>
      <b/>
      <i/>
      <sz val="11"/>
      <color indexed="10"/>
      <name val="Arial"/>
      <family val="2"/>
    </font>
    <font>
      <i/>
      <sz val="11"/>
      <name val="Arial"/>
      <family val="2"/>
    </font>
    <font>
      <sz val="14"/>
      <name val="Arial"/>
      <family val="2"/>
    </font>
    <font>
      <b/>
      <sz val="14"/>
      <color indexed="10"/>
      <name val="Arial"/>
      <family val="2"/>
    </font>
    <font>
      <b/>
      <sz val="10"/>
      <color indexed="8"/>
      <name val="Arial"/>
      <family val="2"/>
    </font>
    <font>
      <b/>
      <sz val="9"/>
      <color indexed="10"/>
      <name val="Arial"/>
      <family val="2"/>
    </font>
    <font>
      <sz val="9"/>
      <name val="Arial"/>
      <family val="2"/>
    </font>
    <font>
      <b/>
      <i/>
      <sz val="12"/>
      <name val="Arial"/>
      <family val="2"/>
    </font>
    <font>
      <sz val="10"/>
      <color indexed="8"/>
      <name val="Arial"/>
      <family val="2"/>
    </font>
    <font>
      <b/>
      <i/>
      <sz val="10"/>
      <color indexed="8"/>
      <name val="Arial"/>
      <family val="2"/>
    </font>
    <font>
      <sz val="8"/>
      <name val="Arial"/>
      <family val="0"/>
    </font>
    <font>
      <b/>
      <sz val="18"/>
      <color indexed="8"/>
      <name val="Arial"/>
      <family val="2"/>
    </font>
    <font>
      <b/>
      <sz val="18"/>
      <name val="Arial"/>
      <family val="2"/>
    </font>
    <font>
      <b/>
      <sz val="20"/>
      <name val="Arial"/>
      <family val="2"/>
    </font>
    <font>
      <u val="single"/>
      <sz val="10"/>
      <name val="Arial"/>
      <family val="0"/>
    </font>
    <font>
      <b/>
      <sz val="20"/>
      <color indexed="8"/>
      <name val="Arial"/>
      <family val="2"/>
    </font>
    <font>
      <b/>
      <sz val="10"/>
      <color indexed="12"/>
      <name val="Arial"/>
      <family val="2"/>
    </font>
    <font>
      <b/>
      <sz val="11"/>
      <name val="Arial"/>
      <family val="2"/>
    </font>
    <font>
      <b/>
      <u val="single"/>
      <sz val="12"/>
      <name val="Arial"/>
      <family val="2"/>
    </font>
    <font>
      <u val="single"/>
      <sz val="10"/>
      <color indexed="10"/>
      <name val="Arial"/>
      <family val="0"/>
    </font>
  </fonts>
  <fills count="8">
    <fill>
      <patternFill/>
    </fill>
    <fill>
      <patternFill patternType="gray125"/>
    </fill>
    <fill>
      <patternFill patternType="solid">
        <fgColor indexed="43"/>
        <bgColor indexed="64"/>
      </patternFill>
    </fill>
    <fill>
      <patternFill patternType="solid">
        <fgColor indexed="11"/>
        <bgColor indexed="64"/>
      </patternFill>
    </fill>
    <fill>
      <patternFill patternType="solid">
        <fgColor indexed="15"/>
        <bgColor indexed="64"/>
      </patternFill>
    </fill>
    <fill>
      <patternFill patternType="solid">
        <fgColor indexed="47"/>
        <bgColor indexed="64"/>
      </patternFill>
    </fill>
    <fill>
      <patternFill patternType="solid">
        <fgColor indexed="42"/>
        <bgColor indexed="64"/>
      </patternFill>
    </fill>
    <fill>
      <patternFill patternType="solid">
        <fgColor indexed="13"/>
        <bgColor indexed="64"/>
      </patternFill>
    </fill>
  </fills>
  <borders count="1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9" fontId="9"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18">
    <xf numFmtId="0" fontId="0" fillId="0" borderId="0" xfId="0" applyAlignment="1">
      <alignment/>
    </xf>
    <xf numFmtId="164" fontId="1" fillId="2" borderId="0" xfId="20" applyNumberFormat="1" applyFont="1" applyFill="1" applyBorder="1">
      <alignment/>
      <protection/>
    </xf>
    <xf numFmtId="0" fontId="0" fillId="2" borderId="0" xfId="21" applyFill="1">
      <alignment/>
      <protection/>
    </xf>
    <xf numFmtId="0" fontId="2" fillId="2" borderId="0" xfId="21" applyFont="1" applyFill="1">
      <alignment/>
      <protection/>
    </xf>
    <xf numFmtId="0" fontId="4" fillId="2" borderId="0" xfId="21" applyFont="1" applyFill="1">
      <alignment/>
      <protection/>
    </xf>
    <xf numFmtId="0" fontId="5" fillId="2" borderId="0" xfId="21" applyFont="1" applyFill="1">
      <alignment/>
      <protection/>
    </xf>
    <xf numFmtId="0" fontId="6" fillId="2" borderId="0" xfId="21" applyFont="1" applyFill="1">
      <alignment/>
      <protection/>
    </xf>
    <xf numFmtId="0" fontId="7" fillId="2" borderId="0" xfId="21" applyFont="1" applyFill="1">
      <alignment/>
      <protection/>
    </xf>
    <xf numFmtId="0" fontId="7" fillId="2" borderId="0" xfId="21" applyFont="1" applyFill="1" applyAlignment="1">
      <alignment horizontal="center"/>
      <protection/>
    </xf>
    <xf numFmtId="0" fontId="8" fillId="2" borderId="0" xfId="21" applyFont="1" applyFill="1">
      <alignment/>
      <protection/>
    </xf>
    <xf numFmtId="0" fontId="7" fillId="2" borderId="1" xfId="21" applyFont="1" applyFill="1" applyBorder="1">
      <alignment/>
      <protection/>
    </xf>
    <xf numFmtId="165" fontId="1" fillId="2" borderId="1" xfId="21" applyNumberFormat="1" applyFont="1" applyFill="1" applyBorder="1" applyProtection="1">
      <alignment/>
      <protection locked="0"/>
    </xf>
    <xf numFmtId="166" fontId="4" fillId="2" borderId="1" xfId="21" applyNumberFormat="1" applyFont="1" applyFill="1" applyBorder="1" applyProtection="1">
      <alignment/>
      <protection/>
    </xf>
    <xf numFmtId="0" fontId="5" fillId="2" borderId="2" xfId="21" applyFont="1" applyFill="1" applyBorder="1" applyProtection="1">
      <alignment/>
      <protection/>
    </xf>
    <xf numFmtId="0" fontId="0" fillId="2" borderId="0" xfId="21" applyFont="1" applyFill="1">
      <alignment/>
      <protection/>
    </xf>
    <xf numFmtId="0" fontId="5" fillId="2" borderId="3" xfId="21" applyFont="1" applyFill="1" applyBorder="1" applyProtection="1">
      <alignment/>
      <protection/>
    </xf>
    <xf numFmtId="15" fontId="0" fillId="2" borderId="0" xfId="21" applyNumberFormat="1" applyFill="1" applyAlignment="1">
      <alignment horizontal="left"/>
      <protection/>
    </xf>
    <xf numFmtId="0" fontId="5" fillId="2" borderId="4" xfId="21" applyFont="1" applyFill="1" applyBorder="1" applyProtection="1">
      <alignment/>
      <protection/>
    </xf>
    <xf numFmtId="2" fontId="4" fillId="2" borderId="1" xfId="21" applyNumberFormat="1" applyFont="1" applyFill="1" applyBorder="1" applyProtection="1">
      <alignment/>
      <protection locked="0"/>
    </xf>
    <xf numFmtId="0" fontId="1" fillId="2" borderId="4" xfId="21" applyFont="1" applyFill="1" applyBorder="1" applyProtection="1">
      <alignment/>
      <protection/>
    </xf>
    <xf numFmtId="167" fontId="1" fillId="2" borderId="1" xfId="21" applyNumberFormat="1" applyFont="1" applyFill="1" applyBorder="1" applyProtection="1">
      <alignment/>
      <protection locked="0"/>
    </xf>
    <xf numFmtId="2" fontId="1" fillId="2" borderId="1" xfId="21" applyNumberFormat="1" applyFont="1" applyFill="1" applyBorder="1" applyProtection="1">
      <alignment/>
      <protection/>
    </xf>
    <xf numFmtId="0" fontId="7" fillId="2" borderId="0" xfId="21" applyFont="1" applyFill="1" applyBorder="1">
      <alignment/>
      <protection/>
    </xf>
    <xf numFmtId="168" fontId="1" fillId="2" borderId="0" xfId="21" applyNumberFormat="1" applyFont="1" applyFill="1" applyBorder="1" applyProtection="1">
      <alignment/>
      <protection locked="0"/>
    </xf>
    <xf numFmtId="166" fontId="4" fillId="2" borderId="0" xfId="21" applyNumberFormat="1" applyFont="1" applyFill="1" applyBorder="1" applyProtection="1">
      <alignment/>
      <protection/>
    </xf>
    <xf numFmtId="169" fontId="4" fillId="2" borderId="0" xfId="21" applyNumberFormat="1" applyFont="1" applyFill="1" applyBorder="1" applyProtection="1">
      <alignment/>
      <protection/>
    </xf>
    <xf numFmtId="168" fontId="1" fillId="2" borderId="0" xfId="21" applyNumberFormat="1" applyFont="1" applyFill="1" applyBorder="1">
      <alignment/>
      <protection/>
    </xf>
    <xf numFmtId="0" fontId="6" fillId="2" borderId="0" xfId="21" applyFont="1" applyFill="1" applyBorder="1">
      <alignment/>
      <protection/>
    </xf>
    <xf numFmtId="166" fontId="4" fillId="2" borderId="0" xfId="21" applyNumberFormat="1" applyFont="1" applyFill="1" applyBorder="1">
      <alignment/>
      <protection/>
    </xf>
    <xf numFmtId="169" fontId="4" fillId="2" borderId="0" xfId="21" applyNumberFormat="1" applyFont="1" applyFill="1" applyBorder="1">
      <alignment/>
      <protection/>
    </xf>
    <xf numFmtId="0" fontId="6" fillId="2" borderId="0" xfId="21" applyFont="1" applyFill="1" applyAlignment="1">
      <alignment horizontal="center"/>
      <protection/>
    </xf>
    <xf numFmtId="169" fontId="4" fillId="2" borderId="1" xfId="15" applyFont="1" applyFill="1" applyBorder="1" applyAlignment="1" applyProtection="1">
      <alignment/>
      <protection/>
    </xf>
    <xf numFmtId="166" fontId="4" fillId="2" borderId="1" xfId="15" applyNumberFormat="1" applyFont="1" applyFill="1" applyBorder="1" applyAlignment="1" applyProtection="1">
      <alignment/>
      <protection/>
    </xf>
    <xf numFmtId="169" fontId="4" fillId="2" borderId="1" xfId="21" applyNumberFormat="1" applyFont="1" applyFill="1" applyBorder="1" applyProtection="1">
      <alignment/>
      <protection/>
    </xf>
    <xf numFmtId="166" fontId="1" fillId="2" borderId="1" xfId="15" applyNumberFormat="1" applyFont="1" applyFill="1" applyBorder="1" applyAlignment="1" applyProtection="1">
      <alignment/>
      <protection locked="0"/>
    </xf>
    <xf numFmtId="169" fontId="1" fillId="2" borderId="1" xfId="15" applyFont="1" applyFill="1" applyBorder="1" applyAlignment="1" applyProtection="1">
      <alignment/>
      <protection locked="0"/>
    </xf>
    <xf numFmtId="0" fontId="1" fillId="2" borderId="1" xfId="21" applyFont="1" applyFill="1" applyBorder="1" applyProtection="1">
      <alignment/>
      <protection locked="0"/>
    </xf>
    <xf numFmtId="0" fontId="1" fillId="2" borderId="0" xfId="21" applyFont="1" applyFill="1" applyBorder="1">
      <alignment/>
      <protection/>
    </xf>
    <xf numFmtId="0" fontId="10" fillId="2" borderId="1" xfId="21" applyFont="1" applyFill="1" applyBorder="1">
      <alignment/>
      <protection/>
    </xf>
    <xf numFmtId="166" fontId="11" fillId="2" borderId="1" xfId="21" applyNumberFormat="1" applyFont="1" applyFill="1" applyBorder="1" applyProtection="1">
      <alignment/>
      <protection/>
    </xf>
    <xf numFmtId="169" fontId="11" fillId="2" borderId="1" xfId="21" applyNumberFormat="1" applyFont="1" applyFill="1" applyBorder="1" applyProtection="1">
      <alignment/>
      <protection/>
    </xf>
    <xf numFmtId="0" fontId="10" fillId="2" borderId="0" xfId="21" applyFont="1" applyFill="1" applyBorder="1">
      <alignment/>
      <protection/>
    </xf>
    <xf numFmtId="166" fontId="11" fillId="2" borderId="0" xfId="21" applyNumberFormat="1" applyFont="1" applyFill="1" applyBorder="1" applyProtection="1">
      <alignment/>
      <protection/>
    </xf>
    <xf numFmtId="169" fontId="11" fillId="2" borderId="0" xfId="21" applyNumberFormat="1" applyFont="1" applyFill="1" applyBorder="1" applyProtection="1">
      <alignment/>
      <protection/>
    </xf>
    <xf numFmtId="0" fontId="12" fillId="2" borderId="0" xfId="21" applyFont="1" applyFill="1">
      <alignment/>
      <protection/>
    </xf>
    <xf numFmtId="37" fontId="13" fillId="2" borderId="5" xfId="15" applyNumberFormat="1" applyFont="1" applyFill="1" applyBorder="1" applyAlignment="1" applyProtection="1">
      <alignment/>
      <protection hidden="1" locked="0"/>
    </xf>
    <xf numFmtId="0" fontId="14" fillId="2" borderId="0" xfId="21" applyFont="1" applyFill="1">
      <alignment/>
      <protection/>
    </xf>
    <xf numFmtId="0" fontId="15" fillId="2" borderId="1" xfId="21" applyFont="1" applyFill="1" applyBorder="1">
      <alignment/>
      <protection/>
    </xf>
    <xf numFmtId="0" fontId="5" fillId="2" borderId="0" xfId="21" applyFont="1" applyFill="1" applyProtection="1">
      <alignment/>
      <protection/>
    </xf>
    <xf numFmtId="0" fontId="4" fillId="2" borderId="1" xfId="21" applyFont="1" applyFill="1" applyBorder="1" applyProtection="1">
      <alignment/>
      <protection/>
    </xf>
    <xf numFmtId="168" fontId="4" fillId="2" borderId="1" xfId="21" applyNumberFormat="1" applyFont="1" applyFill="1" applyBorder="1" applyProtection="1">
      <alignment/>
      <protection/>
    </xf>
    <xf numFmtId="0" fontId="0" fillId="2" borderId="0" xfId="21" applyFill="1" applyProtection="1">
      <alignment/>
      <protection/>
    </xf>
    <xf numFmtId="0" fontId="7" fillId="2" borderId="0" xfId="20" applyFont="1" applyFill="1" applyAlignment="1">
      <alignment horizontal="center"/>
      <protection/>
    </xf>
    <xf numFmtId="0" fontId="16" fillId="2" borderId="0" xfId="20" applyFont="1" applyFill="1" applyAlignment="1">
      <alignment horizontal="centerContinuous"/>
      <protection/>
    </xf>
    <xf numFmtId="164" fontId="16" fillId="2" borderId="1" xfId="20" applyNumberFormat="1" applyFont="1" applyFill="1" applyBorder="1" applyProtection="1">
      <alignment/>
      <protection locked="0"/>
    </xf>
    <xf numFmtId="164" fontId="17" fillId="2" borderId="1" xfId="20" applyNumberFormat="1" applyFont="1" applyFill="1" applyBorder="1" applyProtection="1">
      <alignment/>
      <protection locked="0"/>
    </xf>
    <xf numFmtId="0" fontId="0" fillId="2" borderId="0" xfId="21" applyFill="1" applyProtection="1">
      <alignment/>
      <protection locked="0"/>
    </xf>
    <xf numFmtId="170" fontId="17" fillId="2" borderId="1" xfId="20" applyNumberFormat="1" applyFont="1" applyFill="1" applyBorder="1" applyProtection="1">
      <alignment/>
      <protection locked="0"/>
    </xf>
    <xf numFmtId="9" fontId="17" fillId="2" borderId="1" xfId="20" applyNumberFormat="1" applyFont="1" applyFill="1" applyBorder="1" applyProtection="1">
      <alignment/>
      <protection locked="0"/>
    </xf>
    <xf numFmtId="171" fontId="0" fillId="2" borderId="0" xfId="21" applyNumberFormat="1" applyFill="1">
      <alignment/>
      <protection/>
    </xf>
    <xf numFmtId="164" fontId="6" fillId="2" borderId="1" xfId="20" applyNumberFormat="1" applyFont="1" applyFill="1" applyBorder="1" applyProtection="1">
      <alignment/>
      <protection locked="0"/>
    </xf>
    <xf numFmtId="2" fontId="17" fillId="2" borderId="1" xfId="20" applyNumberFormat="1" applyFont="1" applyFill="1" applyBorder="1" applyProtection="1">
      <alignment/>
      <protection locked="0"/>
    </xf>
    <xf numFmtId="172" fontId="17" fillId="2" borderId="1" xfId="20" applyNumberFormat="1" applyFont="1" applyFill="1" applyBorder="1" applyAlignment="1" applyProtection="1">
      <alignment horizontal="right"/>
      <protection locked="0"/>
    </xf>
    <xf numFmtId="167" fontId="17" fillId="2" borderId="1" xfId="20" applyNumberFormat="1" applyFont="1" applyFill="1" applyBorder="1" applyProtection="1">
      <alignment/>
      <protection locked="0"/>
    </xf>
    <xf numFmtId="0" fontId="7" fillId="2" borderId="1" xfId="20" applyFont="1" applyFill="1" applyBorder="1" applyAlignment="1">
      <alignment horizontal="center"/>
      <protection/>
    </xf>
    <xf numFmtId="0" fontId="18" fillId="2" borderId="0" xfId="20" applyFont="1" applyFill="1" applyAlignment="1">
      <alignment/>
      <protection/>
    </xf>
    <xf numFmtId="0" fontId="19" fillId="2" borderId="0" xfId="20" applyFont="1" applyFill="1" applyAlignment="1">
      <alignment/>
      <protection/>
    </xf>
    <xf numFmtId="0" fontId="20" fillId="2" borderId="0" xfId="20" applyFont="1" applyFill="1">
      <alignment/>
      <protection/>
    </xf>
    <xf numFmtId="0" fontId="7" fillId="2" borderId="1" xfId="20" applyFont="1" applyFill="1" applyBorder="1">
      <alignment/>
      <protection/>
    </xf>
    <xf numFmtId="0" fontId="6" fillId="2" borderId="1" xfId="20" applyFont="1" applyFill="1" applyBorder="1">
      <alignment/>
      <protection/>
    </xf>
    <xf numFmtId="166" fontId="4" fillId="2" borderId="1" xfId="21" applyNumberFormat="1" applyFont="1" applyFill="1" applyBorder="1" applyAlignment="1" applyProtection="1">
      <alignment horizontal="center"/>
      <protection/>
    </xf>
    <xf numFmtId="0" fontId="10" fillId="2" borderId="1" xfId="20" applyFont="1" applyFill="1" applyBorder="1">
      <alignment/>
      <protection/>
    </xf>
    <xf numFmtId="0" fontId="4" fillId="2" borderId="1" xfId="20" applyFont="1" applyFill="1" applyBorder="1">
      <alignment/>
      <protection/>
    </xf>
    <xf numFmtId="173" fontId="21" fillId="2" borderId="1" xfId="21" applyNumberFormat="1" applyFont="1" applyFill="1" applyBorder="1" applyAlignment="1" applyProtection="1">
      <alignment horizontal="left"/>
      <protection/>
    </xf>
    <xf numFmtId="0" fontId="22" fillId="2" borderId="0" xfId="21" applyFont="1" applyFill="1" applyProtection="1">
      <alignment/>
      <protection/>
    </xf>
    <xf numFmtId="0" fontId="4" fillId="2" borderId="6" xfId="20" applyFont="1" applyFill="1" applyBorder="1">
      <alignment/>
      <protection/>
    </xf>
    <xf numFmtId="0" fontId="4" fillId="2" borderId="7" xfId="20" applyFont="1" applyFill="1" applyBorder="1">
      <alignment/>
      <protection/>
    </xf>
    <xf numFmtId="39" fontId="4" fillId="2" borderId="1" xfId="15" applyNumberFormat="1" applyFont="1" applyFill="1" applyBorder="1" applyAlignment="1" applyProtection="1">
      <alignment horizontal="right"/>
      <protection/>
    </xf>
    <xf numFmtId="10" fontId="4" fillId="2" borderId="6" xfId="21" applyNumberFormat="1" applyFont="1" applyFill="1" applyBorder="1" applyAlignment="1" applyProtection="1">
      <alignment horizontal="center"/>
      <protection/>
    </xf>
    <xf numFmtId="0" fontId="25" fillId="2" borderId="0" xfId="21" applyFont="1" applyFill="1">
      <alignment/>
      <protection/>
    </xf>
    <xf numFmtId="0" fontId="0" fillId="2" borderId="8" xfId="0" applyFont="1" applyFill="1" applyBorder="1" applyAlignment="1">
      <alignment/>
    </xf>
    <xf numFmtId="0" fontId="0" fillId="2" borderId="9" xfId="21" applyFont="1" applyFill="1" applyBorder="1">
      <alignment/>
      <protection/>
    </xf>
    <xf numFmtId="0" fontId="0" fillId="2" borderId="9" xfId="21" applyFill="1" applyBorder="1">
      <alignment/>
      <protection/>
    </xf>
    <xf numFmtId="0" fontId="0" fillId="2" borderId="0" xfId="21" applyFill="1" applyBorder="1">
      <alignment/>
      <protection/>
    </xf>
    <xf numFmtId="0" fontId="22" fillId="2" borderId="0" xfId="21" applyFont="1" applyFill="1">
      <alignment/>
      <protection/>
    </xf>
    <xf numFmtId="0" fontId="26" fillId="2" borderId="0" xfId="21" applyFont="1" applyFill="1">
      <alignment/>
      <protection/>
    </xf>
    <xf numFmtId="0" fontId="5" fillId="2" borderId="0" xfId="21" applyFont="1" applyFill="1" applyAlignment="1">
      <alignment horizontal="right"/>
      <protection/>
    </xf>
    <xf numFmtId="0" fontId="27" fillId="2" borderId="0" xfId="21" applyFont="1" applyFill="1">
      <alignment/>
      <protection/>
    </xf>
    <xf numFmtId="0" fontId="31" fillId="3" borderId="0" xfId="21" applyFont="1" applyFill="1" applyAlignment="1">
      <alignment/>
      <protection/>
    </xf>
    <xf numFmtId="0" fontId="0" fillId="3" borderId="0" xfId="21" applyFill="1">
      <alignment/>
      <protection/>
    </xf>
    <xf numFmtId="0" fontId="32" fillId="2" borderId="0" xfId="21" applyFont="1" applyFill="1">
      <alignment/>
      <protection/>
    </xf>
    <xf numFmtId="0" fontId="33" fillId="3" borderId="0" xfId="0" applyFont="1" applyFill="1" applyAlignment="1">
      <alignment horizontal="center" wrapText="1"/>
    </xf>
    <xf numFmtId="0" fontId="0" fillId="2" borderId="0" xfId="0" applyFill="1" applyAlignment="1">
      <alignment wrapText="1"/>
    </xf>
    <xf numFmtId="0" fontId="26" fillId="2" borderId="0" xfId="21" applyFont="1" applyFill="1" applyAlignment="1">
      <alignment wrapText="1"/>
      <protection/>
    </xf>
    <xf numFmtId="0" fontId="26" fillId="2" borderId="0" xfId="0" applyFont="1" applyFill="1" applyAlignment="1">
      <alignment wrapText="1"/>
    </xf>
    <xf numFmtId="0" fontId="16" fillId="4" borderId="0" xfId="0" applyFont="1" applyFill="1" applyAlignment="1">
      <alignment/>
    </xf>
    <xf numFmtId="0" fontId="0" fillId="0" borderId="0" xfId="0" applyAlignment="1">
      <alignment wrapText="1"/>
    </xf>
    <xf numFmtId="0" fontId="35" fillId="5" borderId="0" xfId="0" applyFont="1" applyFill="1" applyAlignment="1">
      <alignment wrapText="1"/>
    </xf>
    <xf numFmtId="0" fontId="36" fillId="6" borderId="0" xfId="0" applyFont="1" applyFill="1" applyAlignment="1">
      <alignment wrapText="1"/>
    </xf>
    <xf numFmtId="0" fontId="6" fillId="7" borderId="0" xfId="0" applyFont="1" applyFill="1" applyAlignment="1">
      <alignment/>
    </xf>
    <xf numFmtId="0" fontId="35" fillId="7" borderId="0" xfId="0" applyFont="1" applyFill="1" applyAlignment="1">
      <alignment/>
    </xf>
    <xf numFmtId="0" fontId="2" fillId="7" borderId="0" xfId="0" applyFont="1" applyFill="1" applyAlignment="1">
      <alignment wrapText="1"/>
    </xf>
    <xf numFmtId="0" fontId="35" fillId="2" borderId="0" xfId="0" applyFont="1" applyFill="1" applyAlignment="1">
      <alignment wrapText="1"/>
    </xf>
    <xf numFmtId="0" fontId="12" fillId="0" borderId="0" xfId="0" applyFont="1" applyAlignment="1">
      <alignment/>
    </xf>
    <xf numFmtId="0" fontId="12" fillId="0" borderId="0" xfId="0" applyFont="1" applyAlignment="1">
      <alignment/>
    </xf>
    <xf numFmtId="0" fontId="37" fillId="0" borderId="0" xfId="0" applyFont="1" applyAlignment="1">
      <alignment/>
    </xf>
    <xf numFmtId="0" fontId="32" fillId="0" borderId="0" xfId="0" applyFont="1" applyAlignment="1">
      <alignment/>
    </xf>
    <xf numFmtId="0" fontId="37" fillId="0" borderId="0" xfId="0" applyFont="1" applyAlignment="1">
      <alignment/>
    </xf>
    <xf numFmtId="0" fontId="12" fillId="0" borderId="0" xfId="0" applyFont="1" applyAlignment="1">
      <alignment wrapText="1"/>
    </xf>
    <xf numFmtId="0" fontId="37" fillId="0" borderId="0" xfId="0" applyFont="1" applyAlignment="1">
      <alignment wrapText="1"/>
    </xf>
    <xf numFmtId="0" fontId="32" fillId="0" borderId="0" xfId="0" applyFont="1" applyAlignment="1">
      <alignment wrapText="1"/>
    </xf>
    <xf numFmtId="0" fontId="2" fillId="0" borderId="0" xfId="0" applyFont="1" applyAlignment="1">
      <alignment wrapText="1"/>
    </xf>
    <xf numFmtId="0" fontId="29" fillId="3" borderId="0" xfId="21" applyFont="1" applyFill="1" applyAlignment="1">
      <alignment horizontal="center" wrapText="1"/>
      <protection/>
    </xf>
    <xf numFmtId="0" fontId="30" fillId="3" borderId="0" xfId="21" applyFont="1" applyFill="1" applyAlignment="1">
      <alignment horizontal="center" wrapText="1"/>
      <protection/>
    </xf>
    <xf numFmtId="0" fontId="23" fillId="2" borderId="10" xfId="21" applyNumberFormat="1" applyFont="1" applyFill="1" applyBorder="1" applyAlignment="1" applyProtection="1">
      <alignment vertical="top" wrapText="1"/>
      <protection/>
    </xf>
    <xf numFmtId="0" fontId="24" fillId="0" borderId="11" xfId="0" applyFont="1" applyBorder="1" applyAlignment="1" applyProtection="1">
      <alignment vertical="top" wrapText="1"/>
      <protection/>
    </xf>
    <xf numFmtId="0" fontId="24" fillId="0" borderId="12" xfId="0" applyFont="1" applyBorder="1" applyAlignment="1" applyProtection="1">
      <alignment vertical="top" wrapText="1"/>
      <protection/>
    </xf>
    <xf numFmtId="0" fontId="24" fillId="0" borderId="13" xfId="0" applyFont="1" applyBorder="1" applyAlignment="1" applyProtection="1">
      <alignment vertical="top" wrapText="1"/>
      <protection/>
    </xf>
  </cellXfs>
  <cellStyles count="9">
    <cellStyle name="Normal" xfId="0"/>
    <cellStyle name="Currency_BeefProd1" xfId="15"/>
    <cellStyle name="Comma" xfId="16"/>
    <cellStyle name="Comma [0]" xfId="17"/>
    <cellStyle name="Currency" xfId="18"/>
    <cellStyle name="Currency [0]" xfId="19"/>
    <cellStyle name="Normal_calffeed" xfId="20"/>
    <cellStyle name="Normal_Calfpro"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21"/>
  <sheetViews>
    <sheetView workbookViewId="0" topLeftCell="A10">
      <selection activeCell="C20" sqref="C20"/>
    </sheetView>
  </sheetViews>
  <sheetFormatPr defaultColWidth="11.421875" defaultRowHeight="12.75"/>
  <cols>
    <col min="1" max="1" width="90.00390625" style="0" customWidth="1"/>
  </cols>
  <sheetData>
    <row r="1" ht="84.75" customHeight="1">
      <c r="A1" s="91" t="s">
        <v>76</v>
      </c>
    </row>
    <row r="2" ht="4.5" customHeight="1">
      <c r="A2" s="92"/>
    </row>
    <row r="3" ht="1.5" customHeight="1">
      <c r="A3" s="92"/>
    </row>
    <row r="4" ht="128.25" customHeight="1">
      <c r="A4" s="92" t="s">
        <v>88</v>
      </c>
    </row>
    <row r="5" ht="29.25" customHeight="1">
      <c r="A5" s="94" t="s">
        <v>83</v>
      </c>
    </row>
    <row r="6" ht="18" customHeight="1">
      <c r="A6" s="94"/>
    </row>
    <row r="7" ht="12.75">
      <c r="A7" s="84" t="s">
        <v>77</v>
      </c>
    </row>
    <row r="8" ht="12.75">
      <c r="A8" s="85" t="s">
        <v>78</v>
      </c>
    </row>
    <row r="9" ht="25.5">
      <c r="A9" s="93" t="s">
        <v>79</v>
      </c>
    </row>
    <row r="10" ht="12.75">
      <c r="A10" s="14" t="s">
        <v>80</v>
      </c>
    </row>
    <row r="11" ht="12.75">
      <c r="A11" s="14" t="s">
        <v>81</v>
      </c>
    </row>
    <row r="12" ht="12.75">
      <c r="A12" s="14" t="s">
        <v>82</v>
      </c>
    </row>
    <row r="14" ht="18">
      <c r="A14" s="95" t="s">
        <v>84</v>
      </c>
    </row>
    <row r="16" ht="22.5" customHeight="1">
      <c r="A16" s="98" t="s">
        <v>102</v>
      </c>
    </row>
    <row r="18" ht="25.5">
      <c r="A18" s="92" t="s">
        <v>101</v>
      </c>
    </row>
    <row r="20" ht="60">
      <c r="A20" s="97" t="s">
        <v>105</v>
      </c>
    </row>
    <row r="21" ht="120">
      <c r="A21" s="102" t="s">
        <v>106</v>
      </c>
    </row>
  </sheetData>
  <printOptions/>
  <pageMargins left="0.75" right="0.75" top="1" bottom="1" header="0.4921259845" footer="0.492125984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B2:H9"/>
  <sheetViews>
    <sheetView workbookViewId="0" topLeftCell="A4">
      <selection activeCell="C4" sqref="C4"/>
    </sheetView>
  </sheetViews>
  <sheetFormatPr defaultColWidth="11.421875" defaultRowHeight="12.75"/>
  <cols>
    <col min="2" max="2" width="50.57421875" style="0" customWidth="1"/>
    <col min="3" max="3" width="24.28125" style="0" customWidth="1"/>
  </cols>
  <sheetData>
    <row r="2" ht="15.75">
      <c r="B2" s="99" t="s">
        <v>90</v>
      </c>
    </row>
    <row r="4" spans="2:8" ht="43.5" customHeight="1">
      <c r="B4" s="96" t="s">
        <v>107</v>
      </c>
      <c r="C4" s="109"/>
      <c r="D4" s="110"/>
      <c r="E4" s="110"/>
      <c r="F4" s="110"/>
      <c r="G4" s="110"/>
      <c r="H4" s="110"/>
    </row>
    <row r="5" ht="42.75">
      <c r="B5" s="96" t="s">
        <v>103</v>
      </c>
    </row>
    <row r="6" ht="27.75" customHeight="1">
      <c r="B6" s="96" t="s">
        <v>95</v>
      </c>
    </row>
    <row r="7" ht="117" customHeight="1">
      <c r="B7" s="96" t="s">
        <v>96</v>
      </c>
    </row>
    <row r="8" ht="89.25">
      <c r="B8" s="96" t="s">
        <v>97</v>
      </c>
    </row>
    <row r="9" ht="102">
      <c r="B9" s="96" t="s">
        <v>98</v>
      </c>
    </row>
  </sheetData>
  <printOptions/>
  <pageMargins left="0.75" right="0.75" top="1" bottom="1" header="0.4921259845" footer="0.492125984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I57"/>
  <sheetViews>
    <sheetView workbookViewId="0" topLeftCell="A1">
      <selection activeCell="B4" sqref="B4"/>
    </sheetView>
  </sheetViews>
  <sheetFormatPr defaultColWidth="11.421875" defaultRowHeight="12.75"/>
  <cols>
    <col min="1" max="1" width="33.28125" style="0" customWidth="1"/>
    <col min="2" max="2" width="11.28125" style="0" customWidth="1"/>
    <col min="3" max="3" width="1.57421875" style="0" customWidth="1"/>
    <col min="4" max="4" width="33.00390625" style="0" customWidth="1"/>
    <col min="5" max="5" width="13.140625" style="0" customWidth="1"/>
    <col min="6" max="6" width="13.421875" style="0" customWidth="1"/>
    <col min="7" max="7" width="11.28125" style="0" customWidth="1"/>
    <col min="8" max="8" width="10.28125" style="0" customWidth="1"/>
    <col min="9" max="9" width="4.28125" style="0" customWidth="1"/>
  </cols>
  <sheetData>
    <row r="1" spans="1:9" ht="26.25">
      <c r="A1" s="112" t="s">
        <v>68</v>
      </c>
      <c r="B1" s="113"/>
      <c r="C1" s="113"/>
      <c r="D1" s="113"/>
      <c r="E1" s="113"/>
      <c r="F1" s="113"/>
      <c r="G1" s="88"/>
      <c r="H1" s="89"/>
      <c r="I1" s="89"/>
    </row>
    <row r="2" spans="1:9" ht="23.25">
      <c r="A2" s="1" t="s">
        <v>0</v>
      </c>
      <c r="B2" s="2"/>
      <c r="C2" s="2"/>
      <c r="D2" s="2"/>
      <c r="E2" s="2"/>
      <c r="F2" s="2"/>
      <c r="G2" s="3" t="s">
        <v>87</v>
      </c>
      <c r="H2" s="2"/>
      <c r="I2" s="2"/>
    </row>
    <row r="3" spans="1:9" ht="15.75">
      <c r="A3" s="4" t="s">
        <v>2</v>
      </c>
      <c r="B3" s="5"/>
      <c r="C3" s="5"/>
      <c r="D3" s="6" t="s">
        <v>3</v>
      </c>
      <c r="E3" s="7" t="s">
        <v>4</v>
      </c>
      <c r="F3" s="8" t="s">
        <v>5</v>
      </c>
      <c r="G3" s="9"/>
      <c r="H3" s="9"/>
      <c r="I3" s="9"/>
    </row>
    <row r="4" spans="1:9" ht="15.75">
      <c r="A4" s="10" t="s">
        <v>6</v>
      </c>
      <c r="B4" s="11">
        <v>758</v>
      </c>
      <c r="C4" s="5"/>
      <c r="D4" s="10" t="s">
        <v>7</v>
      </c>
      <c r="E4" s="12">
        <f>B4*B23</f>
        <v>955.08</v>
      </c>
      <c r="F4" s="13"/>
      <c r="G4" s="14"/>
      <c r="H4" s="2"/>
      <c r="I4" s="2"/>
    </row>
    <row r="5" spans="1:9" ht="15.75">
      <c r="A5" s="10" t="s">
        <v>8</v>
      </c>
      <c r="B5" s="11">
        <v>632</v>
      </c>
      <c r="C5" s="5"/>
      <c r="D5" s="10" t="s">
        <v>9</v>
      </c>
      <c r="E5" s="12">
        <f>B5*B22</f>
        <v>837.0208</v>
      </c>
      <c r="F5" s="15"/>
      <c r="G5" s="16"/>
      <c r="H5" s="2"/>
      <c r="I5" s="2"/>
    </row>
    <row r="6" spans="1:9" ht="15.75">
      <c r="A6" s="10" t="s">
        <v>10</v>
      </c>
      <c r="B6" s="11">
        <v>48</v>
      </c>
      <c r="C6" s="5"/>
      <c r="D6" s="10" t="s">
        <v>11</v>
      </c>
      <c r="E6" s="12">
        <f>(E4+E5)/2*B8*0.01</f>
        <v>0</v>
      </c>
      <c r="F6" s="17"/>
      <c r="G6" s="2"/>
      <c r="H6" s="2"/>
      <c r="I6" s="2"/>
    </row>
    <row r="7" spans="1:9" ht="15.75">
      <c r="A7" s="10" t="s">
        <v>12</v>
      </c>
      <c r="B7" s="18">
        <f>(B4-B5)/B6</f>
        <v>2.625</v>
      </c>
      <c r="C7" s="5"/>
      <c r="D7" s="10" t="s">
        <v>86</v>
      </c>
      <c r="E7" s="12">
        <f>IF(B5&lt;500,IF((B4-(B4*B8*0.01))&lt;750,((B4-(B4*B8*0.01))-500)*F7,(750-500)*F7),IF((B4-(B4*B8*0.01))&lt;750,((B4-(B4*B8*0.01))-B5)*F7,(750-B5)*F7))</f>
        <v>50.74</v>
      </c>
      <c r="F7" s="19">
        <v>0.43</v>
      </c>
      <c r="G7" s="2"/>
      <c r="H7" s="2"/>
      <c r="I7" s="2"/>
    </row>
    <row r="8" spans="1:9" ht="15.75">
      <c r="A8" s="10" t="s">
        <v>14</v>
      </c>
      <c r="B8" s="20">
        <v>0</v>
      </c>
      <c r="C8" s="5"/>
      <c r="D8" s="10" t="s">
        <v>15</v>
      </c>
      <c r="E8" s="12">
        <f>IF(((B4-(B4*B8*0.01))-750)*F8&lt;0,0,((B4-(B4*B8*0.01))-750)*F8)</f>
        <v>1.84</v>
      </c>
      <c r="F8" s="21">
        <v>0.23</v>
      </c>
      <c r="G8" s="2"/>
      <c r="H8" s="2"/>
      <c r="I8" s="2"/>
    </row>
    <row r="9" spans="1:9" ht="15.75">
      <c r="A9" s="22"/>
      <c r="B9" s="23" t="s">
        <v>44</v>
      </c>
      <c r="C9" s="5"/>
      <c r="D9" s="22"/>
      <c r="E9" s="24"/>
      <c r="F9" s="25"/>
      <c r="G9" s="2"/>
      <c r="H9" s="2"/>
      <c r="I9" s="2"/>
    </row>
    <row r="10" spans="1:9" ht="15.75">
      <c r="A10" s="22"/>
      <c r="B10" s="26"/>
      <c r="C10" s="5"/>
      <c r="D10" s="27"/>
      <c r="E10" s="28"/>
      <c r="F10" s="29"/>
      <c r="G10" s="2"/>
      <c r="H10" s="2"/>
      <c r="I10" s="2"/>
    </row>
    <row r="11" spans="1:9" ht="15.75">
      <c r="A11" s="4" t="s">
        <v>16</v>
      </c>
      <c r="B11" s="5"/>
      <c r="C11" s="5"/>
      <c r="D11" s="6" t="s">
        <v>17</v>
      </c>
      <c r="E11" s="6" t="s">
        <v>4</v>
      </c>
      <c r="F11" s="30" t="s">
        <v>5</v>
      </c>
      <c r="G11" s="2"/>
      <c r="H11" s="2"/>
      <c r="I11" s="2"/>
    </row>
    <row r="12" spans="1:9" ht="15.75">
      <c r="A12" s="10" t="s">
        <v>18</v>
      </c>
      <c r="B12" s="31">
        <f>E46</f>
        <v>0.40422762120721306</v>
      </c>
      <c r="C12" s="5"/>
      <c r="D12" s="10" t="s">
        <v>19</v>
      </c>
      <c r="E12" s="32">
        <f>B12*B25</f>
        <v>50.93268027210885</v>
      </c>
      <c r="F12" s="33">
        <f aca="true" t="shared" si="0" ref="F12:F18">E12/$B$25</f>
        <v>0.40422762120721306</v>
      </c>
      <c r="G12" s="2"/>
      <c r="H12" s="2"/>
      <c r="I12" s="2"/>
    </row>
    <row r="13" spans="1:9" ht="15.75">
      <c r="A13" s="10" t="s">
        <v>20</v>
      </c>
      <c r="B13" s="34">
        <v>0</v>
      </c>
      <c r="C13" s="5"/>
      <c r="D13" s="10" t="s">
        <v>20</v>
      </c>
      <c r="E13" s="32">
        <f>B13</f>
        <v>0</v>
      </c>
      <c r="F13" s="33">
        <f t="shared" si="0"/>
        <v>0</v>
      </c>
      <c r="G13" s="2"/>
      <c r="H13" s="2"/>
      <c r="I13" s="2"/>
    </row>
    <row r="14" spans="1:9" ht="15.75">
      <c r="A14" s="10" t="s">
        <v>21</v>
      </c>
      <c r="B14" s="34">
        <v>0</v>
      </c>
      <c r="C14" s="5"/>
      <c r="D14" s="10" t="s">
        <v>22</v>
      </c>
      <c r="E14" s="32">
        <f>B14</f>
        <v>0</v>
      </c>
      <c r="F14" s="33">
        <f t="shared" si="0"/>
        <v>0</v>
      </c>
      <c r="G14" s="2"/>
      <c r="H14" s="2"/>
      <c r="I14" s="2"/>
    </row>
    <row r="15" spans="1:9" ht="15.75">
      <c r="A15" s="10" t="s">
        <v>23</v>
      </c>
      <c r="B15" s="35">
        <v>0.5</v>
      </c>
      <c r="C15" s="5"/>
      <c r="D15" s="10" t="s">
        <v>24</v>
      </c>
      <c r="E15" s="32">
        <f>B15*B6</f>
        <v>24</v>
      </c>
      <c r="F15" s="33">
        <f t="shared" si="0"/>
        <v>0.19047619047619047</v>
      </c>
      <c r="G15" s="2"/>
      <c r="H15" s="2"/>
      <c r="I15" s="2"/>
    </row>
    <row r="16" spans="1:9" ht="15.75">
      <c r="A16" s="10" t="s">
        <v>25</v>
      </c>
      <c r="B16" s="36">
        <v>5.75</v>
      </c>
      <c r="C16" s="5"/>
      <c r="D16" s="10" t="s">
        <v>26</v>
      </c>
      <c r="E16" s="32">
        <f>((B12*B25)+(E5+E4))/2*B16*0.01*B6/365</f>
        <v>6.968181377467151</v>
      </c>
      <c r="F16" s="33">
        <f t="shared" si="0"/>
        <v>0.05530302680529485</v>
      </c>
      <c r="G16" s="2"/>
      <c r="H16" s="2"/>
      <c r="I16" s="2"/>
    </row>
    <row r="17" spans="1:9" ht="15.75">
      <c r="A17" s="22"/>
      <c r="B17" s="37"/>
      <c r="C17" s="5"/>
      <c r="D17" s="10" t="s">
        <v>17</v>
      </c>
      <c r="E17" s="32">
        <f>SUM(E12:E16)</f>
        <v>81.900861649576</v>
      </c>
      <c r="F17" s="33">
        <f t="shared" si="0"/>
        <v>0.6500068384886984</v>
      </c>
      <c r="G17" s="2"/>
      <c r="H17" s="2"/>
      <c r="I17" s="2"/>
    </row>
    <row r="18" spans="1:9" ht="18.75">
      <c r="A18" s="22"/>
      <c r="B18" s="37"/>
      <c r="C18" s="5"/>
      <c r="D18" s="38" t="s">
        <v>27</v>
      </c>
      <c r="E18" s="39">
        <f>(E4-E5-E6+E7+E8-E17)</f>
        <v>88.73833835042404</v>
      </c>
      <c r="F18" s="40">
        <f t="shared" si="0"/>
        <v>0.704272526590667</v>
      </c>
      <c r="G18" s="2"/>
      <c r="H18" s="2"/>
      <c r="I18" s="2"/>
    </row>
    <row r="19" spans="1:9" ht="18.75">
      <c r="A19" s="22"/>
      <c r="B19" s="37"/>
      <c r="C19" s="5"/>
      <c r="D19" s="41"/>
      <c r="E19" s="42"/>
      <c r="F19" s="43"/>
      <c r="G19" s="2"/>
      <c r="H19" s="2"/>
      <c r="I19" s="2"/>
    </row>
    <row r="20" spans="1:9" ht="15.75">
      <c r="A20" s="4"/>
      <c r="B20" s="5"/>
      <c r="C20" s="5"/>
      <c r="D20" s="2"/>
      <c r="E20" s="2"/>
      <c r="F20" s="2"/>
      <c r="G20" s="2"/>
      <c r="H20" s="44"/>
      <c r="I20" s="2"/>
    </row>
    <row r="21" spans="1:9" ht="15.75">
      <c r="A21" s="4" t="s">
        <v>28</v>
      </c>
      <c r="B21" s="45"/>
      <c r="C21" s="5"/>
      <c r="D21" s="46" t="s">
        <v>29</v>
      </c>
      <c r="E21" s="30" t="s">
        <v>4</v>
      </c>
      <c r="F21" s="30" t="s">
        <v>5</v>
      </c>
      <c r="G21" s="2"/>
      <c r="H21" s="44"/>
      <c r="I21" s="2"/>
    </row>
    <row r="22" spans="1:9" ht="15.75">
      <c r="A22" s="10" t="s">
        <v>30</v>
      </c>
      <c r="B22" s="35">
        <v>1.3244</v>
      </c>
      <c r="C22" s="5"/>
      <c r="D22" s="47" t="s">
        <v>31</v>
      </c>
      <c r="E22" s="12">
        <f>E17+E5+E6-E7-E8</f>
        <v>866.3416616495759</v>
      </c>
      <c r="F22" s="33">
        <f>(E17+E5+E6-E7-E8)/B4</f>
        <v>1.1429309520442954</v>
      </c>
      <c r="G22" s="2"/>
      <c r="H22" s="2"/>
      <c r="I22" s="2"/>
    </row>
    <row r="23" spans="1:9" ht="15.75">
      <c r="A23" s="10" t="s">
        <v>32</v>
      </c>
      <c r="B23" s="35">
        <v>1.26</v>
      </c>
      <c r="C23" s="5"/>
      <c r="D23" s="47" t="s">
        <v>33</v>
      </c>
      <c r="E23" s="12">
        <f>(E4-E6-E17+E7+E8)</f>
        <v>925.7591383504241</v>
      </c>
      <c r="F23" s="33">
        <f>(E4-E6-E17+E7+E8)/B5</f>
        <v>1.4648087632126965</v>
      </c>
      <c r="G23" s="2"/>
      <c r="H23" s="2"/>
      <c r="I23" s="2"/>
    </row>
    <row r="24" spans="1:9" ht="15">
      <c r="A24" s="2"/>
      <c r="B24" s="2"/>
      <c r="C24" s="5"/>
      <c r="D24" s="5"/>
      <c r="E24" s="48"/>
      <c r="F24" s="48"/>
      <c r="G24" s="2"/>
      <c r="H24" s="2"/>
      <c r="I24" s="2"/>
    </row>
    <row r="25" spans="1:9" ht="15.75">
      <c r="A25" s="10" t="s">
        <v>34</v>
      </c>
      <c r="B25" s="49">
        <f>B4-B5</f>
        <v>126</v>
      </c>
      <c r="C25" s="5"/>
      <c r="D25" s="10" t="s">
        <v>35</v>
      </c>
      <c r="E25" s="50">
        <f>B25/B6</f>
        <v>2.625</v>
      </c>
      <c r="F25" s="51"/>
      <c r="G25" s="2"/>
      <c r="H25" s="2"/>
      <c r="I25" s="2"/>
    </row>
    <row r="26" spans="1:9" ht="15">
      <c r="A26" s="2"/>
      <c r="B26" s="2"/>
      <c r="C26" s="5"/>
      <c r="D26" s="2"/>
      <c r="E26" s="2"/>
      <c r="F26" s="2"/>
      <c r="G26" s="2"/>
      <c r="H26" s="2"/>
      <c r="I26" s="2"/>
    </row>
    <row r="27" spans="1:9" ht="15">
      <c r="A27" s="5"/>
      <c r="B27" s="5"/>
      <c r="C27" s="5"/>
      <c r="D27" s="2"/>
      <c r="E27" s="2"/>
      <c r="F27" s="2"/>
      <c r="G27" s="2"/>
      <c r="H27" s="2"/>
      <c r="I27" s="2"/>
    </row>
    <row r="28" spans="1:9" ht="18">
      <c r="A28" s="6" t="s">
        <v>36</v>
      </c>
      <c r="B28" s="52" t="s">
        <v>37</v>
      </c>
      <c r="C28" s="5"/>
      <c r="D28" s="52" t="s">
        <v>38</v>
      </c>
      <c r="E28" s="53"/>
      <c r="F28" s="52" t="s">
        <v>39</v>
      </c>
      <c r="G28" s="2"/>
      <c r="H28" s="2"/>
      <c r="I28" s="2"/>
    </row>
    <row r="29" spans="1:9" ht="18">
      <c r="A29" s="54" t="s">
        <v>40</v>
      </c>
      <c r="B29" s="55"/>
      <c r="C29" s="56"/>
      <c r="D29" s="57"/>
      <c r="E29" s="12">
        <f aca="true" t="shared" si="1" ref="E29:E39">+(B29/1000/2.205)*D29*$B$6</f>
        <v>0</v>
      </c>
      <c r="F29" s="58">
        <v>0.89</v>
      </c>
      <c r="G29" s="59"/>
      <c r="H29" s="2"/>
      <c r="I29" s="2"/>
    </row>
    <row r="30" spans="1:9" ht="18">
      <c r="A30" s="54" t="s">
        <v>85</v>
      </c>
      <c r="B30" s="55">
        <v>56</v>
      </c>
      <c r="C30" s="2"/>
      <c r="D30" s="57">
        <v>39</v>
      </c>
      <c r="E30" s="12">
        <f t="shared" si="1"/>
        <v>47.542857142857144</v>
      </c>
      <c r="F30" s="58">
        <v>0.47</v>
      </c>
      <c r="G30" s="59"/>
      <c r="H30" s="2"/>
      <c r="I30" s="2"/>
    </row>
    <row r="31" spans="1:9" ht="18">
      <c r="A31" s="54" t="s">
        <v>41</v>
      </c>
      <c r="B31" s="55"/>
      <c r="C31" s="2"/>
      <c r="D31" s="57">
        <v>0</v>
      </c>
      <c r="E31" s="12">
        <f t="shared" si="1"/>
        <v>0</v>
      </c>
      <c r="F31" s="58">
        <v>0.3</v>
      </c>
      <c r="G31" s="59"/>
      <c r="H31" s="2"/>
      <c r="I31" s="2"/>
    </row>
    <row r="32" spans="1:9" ht="18">
      <c r="A32" s="54" t="s">
        <v>71</v>
      </c>
      <c r="B32" s="55"/>
      <c r="C32" s="2"/>
      <c r="D32" s="57"/>
      <c r="E32" s="12">
        <f t="shared" si="1"/>
        <v>0</v>
      </c>
      <c r="F32" s="58">
        <v>0.88</v>
      </c>
      <c r="G32" s="59"/>
      <c r="H32" s="2"/>
      <c r="I32" s="2"/>
    </row>
    <row r="33" spans="1:9" ht="18">
      <c r="A33" s="60" t="s">
        <v>43</v>
      </c>
      <c r="B33" s="55"/>
      <c r="C33" s="2"/>
      <c r="D33" s="57">
        <v>0</v>
      </c>
      <c r="E33" s="12">
        <f t="shared" si="1"/>
        <v>0</v>
      </c>
      <c r="F33" s="58">
        <v>0.88</v>
      </c>
      <c r="G33" s="59"/>
      <c r="H33" s="2"/>
      <c r="I33" s="2"/>
    </row>
    <row r="34" spans="1:9" ht="18">
      <c r="A34" s="54" t="s">
        <v>45</v>
      </c>
      <c r="B34" s="55"/>
      <c r="C34" s="2"/>
      <c r="D34" s="61"/>
      <c r="E34" s="12">
        <f t="shared" si="1"/>
        <v>0</v>
      </c>
      <c r="F34" s="58">
        <v>0.9</v>
      </c>
      <c r="G34" s="59"/>
      <c r="H34" s="2"/>
      <c r="I34" s="2"/>
    </row>
    <row r="35" spans="1:9" ht="18">
      <c r="A35" s="54" t="s">
        <v>46</v>
      </c>
      <c r="B35" s="55">
        <v>916</v>
      </c>
      <c r="C35" s="2"/>
      <c r="D35" s="62">
        <v>0.17</v>
      </c>
      <c r="E35" s="12">
        <f t="shared" si="1"/>
        <v>3.3898231292517007</v>
      </c>
      <c r="F35" s="58">
        <v>1</v>
      </c>
      <c r="G35" s="59"/>
      <c r="H35" s="2"/>
      <c r="I35" s="2"/>
    </row>
    <row r="36" spans="1:9" ht="18">
      <c r="A36" s="54" t="s">
        <v>47</v>
      </c>
      <c r="B36" s="55"/>
      <c r="C36" s="2"/>
      <c r="D36" s="57"/>
      <c r="E36" s="12">
        <f t="shared" si="1"/>
        <v>0</v>
      </c>
      <c r="F36" s="58">
        <v>0.89</v>
      </c>
      <c r="G36" s="59"/>
      <c r="H36" s="2"/>
      <c r="I36" s="2"/>
    </row>
    <row r="37" spans="1:9" ht="18">
      <c r="A37" s="54" t="s">
        <v>48</v>
      </c>
      <c r="B37" s="55"/>
      <c r="C37" s="2"/>
      <c r="D37" s="63"/>
      <c r="E37" s="12">
        <f t="shared" si="1"/>
        <v>0</v>
      </c>
      <c r="F37" s="58">
        <v>0.88</v>
      </c>
      <c r="G37" s="59"/>
      <c r="H37" s="2"/>
      <c r="I37" s="2"/>
    </row>
    <row r="38" spans="1:9" ht="18">
      <c r="A38" s="54" t="s">
        <v>49</v>
      </c>
      <c r="B38" s="55"/>
      <c r="C38" s="2"/>
      <c r="D38" s="57">
        <v>0</v>
      </c>
      <c r="E38" s="12">
        <f t="shared" si="1"/>
        <v>0</v>
      </c>
      <c r="F38" s="58">
        <v>1</v>
      </c>
      <c r="G38" s="59"/>
      <c r="H38" s="2"/>
      <c r="I38" s="2"/>
    </row>
    <row r="39" spans="1:9" ht="18">
      <c r="A39" s="54" t="s">
        <v>50</v>
      </c>
      <c r="B39" s="55"/>
      <c r="C39" s="2"/>
      <c r="D39" s="57">
        <v>0</v>
      </c>
      <c r="E39" s="12">
        <f t="shared" si="1"/>
        <v>0</v>
      </c>
      <c r="F39" s="58">
        <v>0.18</v>
      </c>
      <c r="G39" s="59"/>
      <c r="H39" s="2"/>
      <c r="I39" s="2"/>
    </row>
    <row r="40" spans="1:9" ht="18">
      <c r="A40" s="55"/>
      <c r="B40" s="55"/>
      <c r="C40" s="56"/>
      <c r="D40" s="57"/>
      <c r="E40" s="55"/>
      <c r="F40" s="64"/>
      <c r="G40" s="59"/>
      <c r="H40" s="2"/>
      <c r="I40" s="2"/>
    </row>
    <row r="41" spans="1:9" ht="14.25">
      <c r="A41" s="65" t="s">
        <v>51</v>
      </c>
      <c r="B41" s="2"/>
      <c r="C41" s="2"/>
      <c r="D41" s="2"/>
      <c r="E41" s="2"/>
      <c r="F41" s="2"/>
      <c r="G41" s="2"/>
      <c r="H41" s="2"/>
      <c r="I41" s="2"/>
    </row>
    <row r="42" spans="1:9" ht="14.25">
      <c r="A42" s="66" t="s">
        <v>52</v>
      </c>
      <c r="B42" s="2"/>
      <c r="C42" s="2"/>
      <c r="D42" s="2"/>
      <c r="E42" s="2"/>
      <c r="F42" s="2"/>
      <c r="G42" s="2"/>
      <c r="H42" s="2"/>
      <c r="I42" s="2"/>
    </row>
    <row r="43" spans="1:9" ht="14.25">
      <c r="A43" s="66" t="s">
        <v>53</v>
      </c>
      <c r="B43" s="2"/>
      <c r="C43" s="2"/>
      <c r="D43" s="2"/>
      <c r="E43" s="2"/>
      <c r="F43" s="2"/>
      <c r="G43" s="2"/>
      <c r="H43" s="2"/>
      <c r="I43" s="2"/>
    </row>
    <row r="44" spans="1:9" ht="14.25">
      <c r="A44" s="66" t="s">
        <v>54</v>
      </c>
      <c r="B44" s="2"/>
      <c r="C44" s="2"/>
      <c r="D44" s="2"/>
      <c r="E44" s="2"/>
      <c r="F44" s="2"/>
      <c r="G44" s="2"/>
      <c r="H44" s="2"/>
      <c r="I44" s="2"/>
    </row>
    <row r="45" spans="1:9" ht="18">
      <c r="A45" s="67"/>
      <c r="B45" s="68" t="s">
        <v>55</v>
      </c>
      <c r="C45" s="69"/>
      <c r="D45" s="69"/>
      <c r="E45" s="70">
        <f>SUM(E29:E39)</f>
        <v>50.93268027210885</v>
      </c>
      <c r="F45" s="51"/>
      <c r="G45" s="51"/>
      <c r="H45" s="51"/>
      <c r="I45" s="2"/>
    </row>
    <row r="46" spans="1:9" ht="18.75">
      <c r="A46" s="67"/>
      <c r="B46" s="71" t="s">
        <v>56</v>
      </c>
      <c r="C46" s="72"/>
      <c r="D46" s="72"/>
      <c r="E46" s="73">
        <f>+E45/B25</f>
        <v>0.40422762120721306</v>
      </c>
      <c r="F46" s="74" t="s">
        <v>57</v>
      </c>
      <c r="G46" s="51"/>
      <c r="H46" s="51"/>
      <c r="I46" s="2"/>
    </row>
    <row r="47" spans="1:9" ht="15.75">
      <c r="A47" s="2"/>
      <c r="B47" s="68" t="s">
        <v>58</v>
      </c>
      <c r="C47" s="75"/>
      <c r="D47" s="76"/>
      <c r="E47" s="77">
        <f>IF(E40=0,((D29*F29)+(D30*F30)+(D31*F31)+(D32*F32)+(D33*F33)+(D34*F34)+(D35*F35)+(D36*F36)+(D37*F37)+(D38*F38)),"s.o.")</f>
        <v>18.5</v>
      </c>
      <c r="F47" s="78">
        <f>IF(E40=0,E47/((B4+B5)/2),"s.o.")</f>
        <v>0.026618705035971222</v>
      </c>
      <c r="G47" s="114" t="str">
        <f>IF(E40=0,(IF(E47&gt;(0.028*((B4+B5)/2)),"Trop de MS; réviser ration"&amp;ROUND(E47,2),IF(E47&lt;(0.022*((B4+B5)/2)),"Trop peu de MS; réviser ration"&amp;ROUND(E47,2),"O.K. consommation MS entre 2,2 à 2,8 % du poids vif"))),"s.o.")</f>
        <v>O.K. consommation MS entre 2,2 à 2,8 % du poids vif</v>
      </c>
      <c r="H47" s="115"/>
      <c r="I47" s="2"/>
    </row>
    <row r="48" spans="1:9" ht="15.75">
      <c r="A48" s="2"/>
      <c r="B48" s="68" t="s">
        <v>59</v>
      </c>
      <c r="C48" s="72"/>
      <c r="D48" s="72"/>
      <c r="E48" s="77">
        <f>IF(E40=0,((D29*F29+D30*F30+D31*F31+D32*F32+D33*F33+D34*F34+D35*F35+D36*F36+D37*F37+D38*F38+D39*F39)*B6/B25),"s.o.")</f>
        <v>7.0476190476190474</v>
      </c>
      <c r="F48" s="51"/>
      <c r="G48" s="116"/>
      <c r="H48" s="117"/>
      <c r="I48" s="2"/>
    </row>
    <row r="49" spans="1:9" ht="15">
      <c r="A49" s="2"/>
      <c r="B49" s="79" t="s">
        <v>60</v>
      </c>
      <c r="C49" s="79"/>
      <c r="D49" s="79"/>
      <c r="E49" s="79"/>
      <c r="F49" s="79"/>
      <c r="G49" s="80"/>
      <c r="H49" s="80"/>
      <c r="I49" s="2"/>
    </row>
    <row r="50" spans="1:9" ht="15.75">
      <c r="A50" s="7" t="s">
        <v>61</v>
      </c>
      <c r="B50" s="3"/>
      <c r="C50" s="3"/>
      <c r="D50" s="3"/>
      <c r="E50" s="3"/>
      <c r="F50" s="3"/>
      <c r="G50" s="2"/>
      <c r="H50" s="2"/>
      <c r="I50" s="2"/>
    </row>
    <row r="51" spans="1:9" ht="16.5" thickBot="1">
      <c r="A51" s="6" t="s">
        <v>62</v>
      </c>
      <c r="B51" s="2"/>
      <c r="C51" s="2"/>
      <c r="D51" s="2"/>
      <c r="E51" s="2"/>
      <c r="F51" s="2"/>
      <c r="G51" s="2"/>
      <c r="H51" s="2"/>
      <c r="I51" s="2"/>
    </row>
    <row r="52" spans="1:9" ht="12.75">
      <c r="A52" s="2"/>
      <c r="B52" s="2"/>
      <c r="C52" s="81"/>
      <c r="D52" s="82"/>
      <c r="E52" s="82"/>
      <c r="F52" s="2"/>
      <c r="G52" s="2"/>
      <c r="H52" s="2"/>
      <c r="I52" s="83"/>
    </row>
    <row r="53" spans="1:9" ht="12.75">
      <c r="A53" s="84" t="s">
        <v>63</v>
      </c>
      <c r="B53" s="2"/>
      <c r="C53" s="2"/>
      <c r="D53" s="2"/>
      <c r="E53" s="2"/>
      <c r="F53" s="2"/>
      <c r="G53" s="2"/>
      <c r="H53" s="2"/>
      <c r="I53" s="83"/>
    </row>
    <row r="54" spans="1:9" ht="15">
      <c r="A54" s="85" t="s">
        <v>64</v>
      </c>
      <c r="B54" s="2"/>
      <c r="C54" s="2"/>
      <c r="D54" s="86"/>
      <c r="E54" s="5"/>
      <c r="F54" s="5"/>
      <c r="G54" s="2"/>
      <c r="H54" s="2"/>
      <c r="I54" s="2"/>
    </row>
    <row r="55" spans="1:9" ht="15">
      <c r="A55" s="85" t="s">
        <v>65</v>
      </c>
      <c r="B55" s="2"/>
      <c r="C55" s="2"/>
      <c r="D55" s="5"/>
      <c r="E55" s="5"/>
      <c r="F55" s="5"/>
      <c r="G55" s="2"/>
      <c r="H55" s="2"/>
      <c r="I55" s="2"/>
    </row>
    <row r="56" spans="1:9" ht="15">
      <c r="A56" s="14" t="s">
        <v>66</v>
      </c>
      <c r="B56" s="2"/>
      <c r="C56" s="2"/>
      <c r="D56" s="5"/>
      <c r="E56" s="5"/>
      <c r="F56" s="5"/>
      <c r="G56" s="2"/>
      <c r="H56" s="2"/>
      <c r="I56" s="2"/>
    </row>
    <row r="57" spans="1:9" ht="12.75">
      <c r="A57" s="87" t="s">
        <v>67</v>
      </c>
      <c r="B57" s="2"/>
      <c r="C57" s="2"/>
      <c r="D57" s="2"/>
      <c r="E57" s="2"/>
      <c r="F57" s="2"/>
      <c r="G57" s="2"/>
      <c r="H57" s="2"/>
      <c r="I57" s="2"/>
    </row>
  </sheetData>
  <mergeCells count="2">
    <mergeCell ref="A1:F1"/>
    <mergeCell ref="G47:H48"/>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B2:H9"/>
  <sheetViews>
    <sheetView workbookViewId="0" topLeftCell="A4">
      <selection activeCell="F9" sqref="F9"/>
    </sheetView>
  </sheetViews>
  <sheetFormatPr defaultColWidth="11.421875" defaultRowHeight="12.75"/>
  <cols>
    <col min="2" max="2" width="56.140625" style="0" customWidth="1"/>
  </cols>
  <sheetData>
    <row r="2" ht="15">
      <c r="B2" s="100" t="s">
        <v>91</v>
      </c>
    </row>
    <row r="4" spans="2:8" ht="29.25" customHeight="1">
      <c r="B4" s="96" t="s">
        <v>108</v>
      </c>
      <c r="C4" s="105"/>
      <c r="D4" s="106"/>
      <c r="E4" s="106"/>
      <c r="F4" s="106"/>
      <c r="G4" s="106"/>
      <c r="H4" s="106"/>
    </row>
    <row r="5" ht="28.5" customHeight="1">
      <c r="B5" s="96" t="s">
        <v>92</v>
      </c>
    </row>
    <row r="6" spans="2:3" ht="71.25" customHeight="1">
      <c r="B6" s="96" t="s">
        <v>109</v>
      </c>
      <c r="C6" s="107"/>
    </row>
    <row r="7" spans="2:3" ht="122.25" customHeight="1">
      <c r="B7" s="96" t="s">
        <v>110</v>
      </c>
      <c r="C7" s="107"/>
    </row>
    <row r="8" ht="63.75">
      <c r="B8" s="111" t="s">
        <v>111</v>
      </c>
    </row>
    <row r="9" ht="76.5">
      <c r="B9" s="101" t="s">
        <v>104</v>
      </c>
    </row>
  </sheetData>
  <printOptions/>
  <pageMargins left="0.75" right="0.75" top="1" bottom="1" header="0.4921259845" footer="0.492125984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I57"/>
  <sheetViews>
    <sheetView workbookViewId="0" topLeftCell="A15">
      <selection activeCell="H22" sqref="H22"/>
    </sheetView>
  </sheetViews>
  <sheetFormatPr defaultColWidth="11.421875" defaultRowHeight="12.75"/>
  <cols>
    <col min="1" max="1" width="33.28125" style="0" customWidth="1"/>
    <col min="2" max="2" width="11.28125" style="0" customWidth="1"/>
    <col min="3" max="3" width="1.57421875" style="0" customWidth="1"/>
    <col min="4" max="4" width="33.00390625" style="0" customWidth="1"/>
    <col min="5" max="5" width="13.140625" style="0" customWidth="1"/>
    <col min="6" max="6" width="13.421875" style="0" customWidth="1"/>
    <col min="7" max="7" width="11.28125" style="0" customWidth="1"/>
    <col min="8" max="8" width="10.28125" style="0" customWidth="1"/>
    <col min="9" max="9" width="4.28125" style="0" customWidth="1"/>
  </cols>
  <sheetData>
    <row r="1" spans="1:9" ht="26.25">
      <c r="A1" s="112" t="s">
        <v>68</v>
      </c>
      <c r="B1" s="113"/>
      <c r="C1" s="113"/>
      <c r="D1" s="113"/>
      <c r="E1" s="113"/>
      <c r="F1" s="113"/>
      <c r="G1" s="88"/>
      <c r="H1" s="89"/>
      <c r="I1" s="89"/>
    </row>
    <row r="2" spans="1:9" ht="23.25">
      <c r="A2" s="1" t="s">
        <v>0</v>
      </c>
      <c r="B2" s="2"/>
      <c r="C2" s="2"/>
      <c r="D2" s="2"/>
      <c r="E2" s="2"/>
      <c r="F2" s="2"/>
      <c r="G2" s="3" t="s">
        <v>1</v>
      </c>
      <c r="H2" s="2"/>
      <c r="I2" s="2"/>
    </row>
    <row r="3" spans="1:9" ht="15.75">
      <c r="A3" s="4" t="s">
        <v>2</v>
      </c>
      <c r="B3" s="5"/>
      <c r="C3" s="5"/>
      <c r="D3" s="6" t="s">
        <v>3</v>
      </c>
      <c r="E3" s="7" t="s">
        <v>4</v>
      </c>
      <c r="F3" s="8" t="s">
        <v>5</v>
      </c>
      <c r="G3" s="9"/>
      <c r="H3" s="9"/>
      <c r="I3" s="9"/>
    </row>
    <row r="4" spans="1:9" ht="15.75">
      <c r="A4" s="10" t="s">
        <v>6</v>
      </c>
      <c r="B4" s="11">
        <v>843</v>
      </c>
      <c r="C4" s="5"/>
      <c r="D4" s="10" t="s">
        <v>7</v>
      </c>
      <c r="E4" s="12">
        <f>B4*B23</f>
        <v>1272.93</v>
      </c>
      <c r="F4" s="13"/>
      <c r="G4" s="14"/>
      <c r="H4" s="2"/>
      <c r="I4" s="2"/>
    </row>
    <row r="5" spans="1:9" ht="15.75">
      <c r="A5" s="10" t="s">
        <v>8</v>
      </c>
      <c r="B5" s="11">
        <v>631</v>
      </c>
      <c r="C5" s="5"/>
      <c r="D5" s="10" t="s">
        <v>9</v>
      </c>
      <c r="E5" s="12">
        <f>B5*B22</f>
        <v>959.12</v>
      </c>
      <c r="F5" s="15"/>
      <c r="G5" s="16"/>
      <c r="H5" s="2"/>
      <c r="I5" s="2"/>
    </row>
    <row r="6" spans="1:9" ht="15.75">
      <c r="A6" s="10" t="s">
        <v>10</v>
      </c>
      <c r="B6" s="11">
        <v>88</v>
      </c>
      <c r="C6" s="5"/>
      <c r="D6" s="10" t="s">
        <v>11</v>
      </c>
      <c r="E6" s="12">
        <f>(E4+E5)/2*B8*0.01</f>
        <v>41.292925000000004</v>
      </c>
      <c r="F6" s="17"/>
      <c r="G6" s="2"/>
      <c r="H6" s="2"/>
      <c r="I6" s="2"/>
    </row>
    <row r="7" spans="1:9" ht="15.75">
      <c r="A7" s="10" t="s">
        <v>12</v>
      </c>
      <c r="B7" s="18">
        <f>(B4-B5)/B6</f>
        <v>2.409090909090909</v>
      </c>
      <c r="C7" s="5"/>
      <c r="D7" s="10" t="s">
        <v>13</v>
      </c>
      <c r="E7" s="12">
        <f>IF(B5&lt;450,IF((B4-(B4*B8*0.01))&lt;750,((B4-(B4*B8*0.01))-450)*F7,(750-450)*F7),IF((B4-(B4*B8*0.01))&lt;750,((B4-(B4*B8*0.01))-B5)*F7,(750-B5)*F7))</f>
        <v>57.12</v>
      </c>
      <c r="F7" s="19">
        <v>0.48</v>
      </c>
      <c r="G7" s="2"/>
      <c r="H7" s="2"/>
      <c r="I7" s="2"/>
    </row>
    <row r="8" spans="1:9" ht="15.75">
      <c r="A8" s="10" t="s">
        <v>14</v>
      </c>
      <c r="B8" s="20">
        <v>3.7</v>
      </c>
      <c r="C8" s="5"/>
      <c r="D8" s="10" t="s">
        <v>15</v>
      </c>
      <c r="E8" s="12">
        <f>IF(((B4-(B4*B8*0.01))-750)*F8&lt;0,0,((B4-(B4*B8*0.01))-750)*F8)</f>
        <v>14.216069999999993</v>
      </c>
      <c r="F8" s="21">
        <v>0.23</v>
      </c>
      <c r="G8" s="2"/>
      <c r="H8" s="2"/>
      <c r="I8" s="2"/>
    </row>
    <row r="9" spans="1:9" ht="15.75">
      <c r="A9" s="22"/>
      <c r="B9" s="23"/>
      <c r="C9" s="5"/>
      <c r="D9" s="22"/>
      <c r="E9" s="24"/>
      <c r="F9" s="25"/>
      <c r="G9" s="2"/>
      <c r="H9" s="2"/>
      <c r="I9" s="2"/>
    </row>
    <row r="10" spans="1:9" ht="15.75">
      <c r="A10" s="22"/>
      <c r="B10" s="26"/>
      <c r="C10" s="5"/>
      <c r="D10" s="27"/>
      <c r="E10" s="28"/>
      <c r="F10" s="29"/>
      <c r="G10" s="2"/>
      <c r="H10" s="2"/>
      <c r="I10" s="2"/>
    </row>
    <row r="11" spans="1:9" ht="15.75">
      <c r="A11" s="4" t="s">
        <v>16</v>
      </c>
      <c r="B11" s="5"/>
      <c r="C11" s="5"/>
      <c r="D11" s="6" t="s">
        <v>17</v>
      </c>
      <c r="E11" s="6" t="s">
        <v>4</v>
      </c>
      <c r="F11" s="30" t="s">
        <v>5</v>
      </c>
      <c r="G11" s="2"/>
      <c r="H11" s="2"/>
      <c r="I11" s="2"/>
    </row>
    <row r="12" spans="1:9" ht="15.75">
      <c r="A12" s="10" t="s">
        <v>18</v>
      </c>
      <c r="B12" s="31">
        <f>E46</f>
        <v>0.5692157617764088</v>
      </c>
      <c r="C12" s="5"/>
      <c r="D12" s="10" t="s">
        <v>19</v>
      </c>
      <c r="E12" s="32">
        <f>B12*B25</f>
        <v>120.67374149659865</v>
      </c>
      <c r="F12" s="33">
        <f aca="true" t="shared" si="0" ref="F12:F18">E12/$B$25</f>
        <v>0.5692157617764088</v>
      </c>
      <c r="G12" s="2"/>
      <c r="H12" s="2"/>
      <c r="I12" s="2"/>
    </row>
    <row r="13" spans="1:9" ht="15.75">
      <c r="A13" s="10" t="s">
        <v>20</v>
      </c>
      <c r="B13" s="34">
        <v>9</v>
      </c>
      <c r="C13" s="5"/>
      <c r="D13" s="10" t="s">
        <v>20</v>
      </c>
      <c r="E13" s="32">
        <f>B13</f>
        <v>9</v>
      </c>
      <c r="F13" s="33">
        <f t="shared" si="0"/>
        <v>0.04245283018867924</v>
      </c>
      <c r="G13" s="2"/>
      <c r="H13" s="2"/>
      <c r="I13" s="2"/>
    </row>
    <row r="14" spans="1:9" ht="15.75">
      <c r="A14" s="10" t="s">
        <v>21</v>
      </c>
      <c r="B14" s="34">
        <v>27</v>
      </c>
      <c r="C14" s="5"/>
      <c r="D14" s="10" t="s">
        <v>22</v>
      </c>
      <c r="E14" s="32">
        <f>B14</f>
        <v>27</v>
      </c>
      <c r="F14" s="33">
        <f t="shared" si="0"/>
        <v>0.12735849056603774</v>
      </c>
      <c r="G14" s="2"/>
      <c r="H14" s="2"/>
      <c r="I14" s="2"/>
    </row>
    <row r="15" spans="1:9" ht="15.75">
      <c r="A15" s="10" t="s">
        <v>23</v>
      </c>
      <c r="B15" s="35">
        <v>0.5</v>
      </c>
      <c r="C15" s="5"/>
      <c r="D15" s="10" t="s">
        <v>24</v>
      </c>
      <c r="E15" s="32">
        <f>B15*B6</f>
        <v>44</v>
      </c>
      <c r="F15" s="33">
        <f t="shared" si="0"/>
        <v>0.20754716981132076</v>
      </c>
      <c r="G15" s="2"/>
      <c r="H15" s="2"/>
      <c r="I15" s="2"/>
    </row>
    <row r="16" spans="1:9" ht="15.75">
      <c r="A16" s="10" t="s">
        <v>25</v>
      </c>
      <c r="B16" s="36">
        <v>5.75</v>
      </c>
      <c r="C16" s="5"/>
      <c r="D16" s="10" t="s">
        <v>26</v>
      </c>
      <c r="E16" s="32">
        <f>((B12*B25)+(E5+E4))/2*B16*0.01*B6/365</f>
        <v>16.30792072872985</v>
      </c>
      <c r="F16" s="33">
        <f t="shared" si="0"/>
        <v>0.07692415438080118</v>
      </c>
      <c r="G16" s="2"/>
      <c r="H16" s="2"/>
      <c r="I16" s="2"/>
    </row>
    <row r="17" spans="1:9" ht="15.75">
      <c r="A17" s="22"/>
      <c r="B17" s="37"/>
      <c r="C17" s="5"/>
      <c r="D17" s="10" t="s">
        <v>17</v>
      </c>
      <c r="E17" s="32">
        <f>SUM(E12:E16)</f>
        <v>216.9816622253285</v>
      </c>
      <c r="F17" s="33">
        <f t="shared" si="0"/>
        <v>1.0234984067232478</v>
      </c>
      <c r="G17" s="2"/>
      <c r="H17" s="2"/>
      <c r="I17" s="2"/>
    </row>
    <row r="18" spans="1:9" ht="18.75">
      <c r="A18" s="22"/>
      <c r="B18" s="37"/>
      <c r="C18" s="5"/>
      <c r="D18" s="38" t="s">
        <v>27</v>
      </c>
      <c r="E18" s="39">
        <f>(E4-E5-E6+E7+E8-E17)</f>
        <v>126.87148277467153</v>
      </c>
      <c r="F18" s="40">
        <f t="shared" si="0"/>
        <v>0.5984503904465639</v>
      </c>
      <c r="G18" s="2"/>
      <c r="H18" s="2"/>
      <c r="I18" s="2"/>
    </row>
    <row r="19" spans="1:9" ht="18.75">
      <c r="A19" s="22"/>
      <c r="B19" s="37"/>
      <c r="C19" s="5"/>
      <c r="D19" s="41"/>
      <c r="E19" s="42"/>
      <c r="F19" s="43"/>
      <c r="G19" s="2"/>
      <c r="H19" s="2"/>
      <c r="I19" s="2"/>
    </row>
    <row r="20" spans="1:9" ht="15.75">
      <c r="A20" s="4"/>
      <c r="B20" s="5"/>
      <c r="C20" s="5"/>
      <c r="D20" s="2"/>
      <c r="E20" s="2"/>
      <c r="F20" s="2"/>
      <c r="G20" s="2"/>
      <c r="H20" s="44"/>
      <c r="I20" s="2"/>
    </row>
    <row r="21" spans="1:9" ht="15.75">
      <c r="A21" s="4" t="s">
        <v>28</v>
      </c>
      <c r="B21" s="45"/>
      <c r="C21" s="5"/>
      <c r="D21" s="46" t="s">
        <v>29</v>
      </c>
      <c r="E21" s="30" t="s">
        <v>4</v>
      </c>
      <c r="F21" s="30" t="s">
        <v>5</v>
      </c>
      <c r="G21" s="2"/>
      <c r="H21" s="44"/>
      <c r="I21" s="2"/>
    </row>
    <row r="22" spans="1:9" ht="15.75">
      <c r="A22" s="10" t="s">
        <v>30</v>
      </c>
      <c r="B22" s="35">
        <v>1.52</v>
      </c>
      <c r="C22" s="5"/>
      <c r="D22" s="47" t="s">
        <v>31</v>
      </c>
      <c r="E22" s="12">
        <f>E17+E5+E6-E7-E8</f>
        <v>1146.0585172253286</v>
      </c>
      <c r="F22" s="33">
        <f>(E17+E5+E6-E7-E8)/B4</f>
        <v>1.3595000204333674</v>
      </c>
      <c r="G22" s="2"/>
      <c r="H22" s="2"/>
      <c r="I22" s="2"/>
    </row>
    <row r="23" spans="1:9" ht="15.75">
      <c r="A23" s="10" t="s">
        <v>32</v>
      </c>
      <c r="B23" s="35">
        <v>1.51</v>
      </c>
      <c r="C23" s="5"/>
      <c r="D23" s="47" t="s">
        <v>33</v>
      </c>
      <c r="E23" s="12">
        <f>(E4-E6-E17+E7+E8)</f>
        <v>1085.9914827746716</v>
      </c>
      <c r="F23" s="33">
        <f>(E4-E6-E17+E7+E8)/B5</f>
        <v>1.721064156536722</v>
      </c>
      <c r="G23" s="2"/>
      <c r="H23" s="2"/>
      <c r="I23" s="2"/>
    </row>
    <row r="24" spans="1:9" ht="15">
      <c r="A24" s="2"/>
      <c r="B24" s="2"/>
      <c r="C24" s="5"/>
      <c r="D24" s="5"/>
      <c r="E24" s="48"/>
      <c r="F24" s="48"/>
      <c r="G24" s="2"/>
      <c r="H24" s="2"/>
      <c r="I24" s="2"/>
    </row>
    <row r="25" spans="1:9" ht="15.75">
      <c r="A25" s="10" t="s">
        <v>34</v>
      </c>
      <c r="B25" s="49">
        <f>B4-B5</f>
        <v>212</v>
      </c>
      <c r="C25" s="5"/>
      <c r="D25" s="10" t="s">
        <v>35</v>
      </c>
      <c r="E25" s="50">
        <f>B25/B6</f>
        <v>2.409090909090909</v>
      </c>
      <c r="F25" s="51"/>
      <c r="G25" s="2"/>
      <c r="H25" s="2"/>
      <c r="I25" s="2"/>
    </row>
    <row r="26" spans="1:9" ht="15">
      <c r="A26" s="2"/>
      <c r="B26" s="2"/>
      <c r="C26" s="5"/>
      <c r="D26" s="2"/>
      <c r="E26" s="2"/>
      <c r="F26" s="2"/>
      <c r="G26" s="2"/>
      <c r="H26" s="2"/>
      <c r="I26" s="2"/>
    </row>
    <row r="27" spans="1:9" ht="15">
      <c r="A27" s="5"/>
      <c r="B27" s="5"/>
      <c r="C27" s="5"/>
      <c r="D27" s="2"/>
      <c r="E27" s="2"/>
      <c r="F27" s="2"/>
      <c r="G27" s="2"/>
      <c r="H27" s="2"/>
      <c r="I27" s="2"/>
    </row>
    <row r="28" spans="1:9" ht="18">
      <c r="A28" s="6" t="s">
        <v>36</v>
      </c>
      <c r="B28" s="52" t="s">
        <v>37</v>
      </c>
      <c r="C28" s="5"/>
      <c r="D28" s="52" t="s">
        <v>38</v>
      </c>
      <c r="E28" s="53"/>
      <c r="F28" s="52" t="s">
        <v>39</v>
      </c>
      <c r="G28" s="2"/>
      <c r="H28" s="2"/>
      <c r="I28" s="2"/>
    </row>
    <row r="29" spans="1:9" ht="18">
      <c r="A29" s="54" t="s">
        <v>40</v>
      </c>
      <c r="B29" s="55"/>
      <c r="C29" s="56"/>
      <c r="D29" s="57"/>
      <c r="E29" s="12">
        <f aca="true" t="shared" si="1" ref="E29:E39">+(B29/1000/2.205)*D29*$B$6</f>
        <v>0</v>
      </c>
      <c r="F29" s="58">
        <v>0.89</v>
      </c>
      <c r="G29" s="59"/>
      <c r="H29" s="2"/>
      <c r="I29" s="2"/>
    </row>
    <row r="30" spans="1:9" ht="18">
      <c r="A30" s="54" t="s">
        <v>85</v>
      </c>
      <c r="B30" s="55">
        <v>43</v>
      </c>
      <c r="C30" s="2"/>
      <c r="D30" s="57">
        <v>29.9</v>
      </c>
      <c r="E30" s="12">
        <f t="shared" si="1"/>
        <v>51.31138321995464</v>
      </c>
      <c r="F30" s="58">
        <v>0.43</v>
      </c>
      <c r="G30" s="59"/>
      <c r="H30" s="2"/>
      <c r="I30" s="2"/>
    </row>
    <row r="31" spans="1:9" ht="18">
      <c r="A31" s="54" t="s">
        <v>41</v>
      </c>
      <c r="B31" s="55"/>
      <c r="C31" s="2"/>
      <c r="D31" s="57">
        <v>0</v>
      </c>
      <c r="E31" s="12">
        <f t="shared" si="1"/>
        <v>0</v>
      </c>
      <c r="F31" s="58">
        <v>0.3</v>
      </c>
      <c r="G31" s="59"/>
      <c r="H31" s="2"/>
      <c r="I31" s="2"/>
    </row>
    <row r="32" spans="1:9" ht="18">
      <c r="A32" s="54" t="s">
        <v>42</v>
      </c>
      <c r="B32" s="55">
        <v>175</v>
      </c>
      <c r="C32" s="2"/>
      <c r="D32" s="57">
        <v>4.4</v>
      </c>
      <c r="E32" s="12">
        <f t="shared" si="1"/>
        <v>30.730158730158735</v>
      </c>
      <c r="F32" s="58">
        <v>0.88</v>
      </c>
      <c r="G32" s="59"/>
      <c r="H32" s="2"/>
      <c r="I32" s="2"/>
    </row>
    <row r="33" spans="1:9" ht="18">
      <c r="A33" s="60" t="s">
        <v>43</v>
      </c>
      <c r="B33" s="55" t="s">
        <v>44</v>
      </c>
      <c r="C33" s="2"/>
      <c r="D33" s="57"/>
      <c r="E33" s="12"/>
      <c r="F33" s="58">
        <v>0.88</v>
      </c>
      <c r="G33" s="59"/>
      <c r="H33" s="2"/>
      <c r="I33" s="2"/>
    </row>
    <row r="34" spans="1:9" ht="18">
      <c r="A34" s="54" t="s">
        <v>45</v>
      </c>
      <c r="B34" s="55"/>
      <c r="C34" s="2"/>
      <c r="D34" s="61"/>
      <c r="E34" s="12">
        <f t="shared" si="1"/>
        <v>0</v>
      </c>
      <c r="F34" s="58">
        <v>0.9</v>
      </c>
      <c r="G34" s="59"/>
      <c r="H34" s="2"/>
      <c r="I34" s="2"/>
    </row>
    <row r="35" spans="1:9" ht="18">
      <c r="A35" s="54" t="s">
        <v>46</v>
      </c>
      <c r="B35" s="55">
        <v>880</v>
      </c>
      <c r="C35" s="2"/>
      <c r="D35" s="62">
        <v>0.11</v>
      </c>
      <c r="E35" s="12">
        <f t="shared" si="1"/>
        <v>3.863219954648526</v>
      </c>
      <c r="F35" s="58">
        <v>1</v>
      </c>
      <c r="G35" s="59"/>
      <c r="H35" s="2"/>
      <c r="I35" s="2"/>
    </row>
    <row r="36" spans="1:9" ht="18">
      <c r="A36" s="54" t="s">
        <v>47</v>
      </c>
      <c r="B36" s="55">
        <v>396</v>
      </c>
      <c r="C36" s="2"/>
      <c r="D36" s="57">
        <v>2.2</v>
      </c>
      <c r="E36" s="12">
        <f t="shared" si="1"/>
        <v>34.76897959183674</v>
      </c>
      <c r="F36" s="58">
        <v>0.89</v>
      </c>
      <c r="G36" s="59"/>
      <c r="H36" s="2"/>
      <c r="I36" s="2"/>
    </row>
    <row r="37" spans="1:9" ht="18">
      <c r="A37" s="54" t="s">
        <v>48</v>
      </c>
      <c r="B37" s="55"/>
      <c r="C37" s="2"/>
      <c r="D37" s="63"/>
      <c r="E37" s="12">
        <f t="shared" si="1"/>
        <v>0</v>
      </c>
      <c r="F37" s="58">
        <v>0.88</v>
      </c>
      <c r="G37" s="59"/>
      <c r="H37" s="2"/>
      <c r="I37" s="2"/>
    </row>
    <row r="38" spans="1:9" ht="18">
      <c r="A38" s="54" t="s">
        <v>49</v>
      </c>
      <c r="B38" s="55"/>
      <c r="C38" s="2"/>
      <c r="D38" s="57">
        <v>0</v>
      </c>
      <c r="E38" s="12">
        <f t="shared" si="1"/>
        <v>0</v>
      </c>
      <c r="F38" s="58">
        <v>1</v>
      </c>
      <c r="G38" s="59"/>
      <c r="H38" s="2"/>
      <c r="I38" s="2"/>
    </row>
    <row r="39" spans="1:9" ht="18">
      <c r="A39" s="54" t="s">
        <v>50</v>
      </c>
      <c r="B39" s="55"/>
      <c r="C39" s="2"/>
      <c r="D39" s="57">
        <v>0</v>
      </c>
      <c r="E39" s="12">
        <f t="shared" si="1"/>
        <v>0</v>
      </c>
      <c r="F39" s="58">
        <v>0.18</v>
      </c>
      <c r="G39" s="59"/>
      <c r="H39" s="2"/>
      <c r="I39" s="2"/>
    </row>
    <row r="40" spans="1:9" ht="18">
      <c r="A40" s="55"/>
      <c r="B40" s="55"/>
      <c r="C40" s="56"/>
      <c r="D40" s="57"/>
      <c r="E40" s="55"/>
      <c r="F40" s="64"/>
      <c r="G40" s="59"/>
      <c r="H40" s="2"/>
      <c r="I40" s="2"/>
    </row>
    <row r="41" spans="1:9" ht="14.25">
      <c r="A41" s="65" t="s">
        <v>51</v>
      </c>
      <c r="B41" s="2"/>
      <c r="C41" s="2"/>
      <c r="D41" s="2"/>
      <c r="E41" s="2"/>
      <c r="F41" s="2"/>
      <c r="G41" s="2"/>
      <c r="H41" s="2"/>
      <c r="I41" s="2"/>
    </row>
    <row r="42" spans="1:9" ht="14.25">
      <c r="A42" s="66" t="s">
        <v>52</v>
      </c>
      <c r="B42" s="2"/>
      <c r="C42" s="2"/>
      <c r="D42" s="2"/>
      <c r="E42" s="2"/>
      <c r="F42" s="2"/>
      <c r="G42" s="2"/>
      <c r="H42" s="2"/>
      <c r="I42" s="2"/>
    </row>
    <row r="43" spans="1:9" ht="14.25">
      <c r="A43" s="66" t="s">
        <v>53</v>
      </c>
      <c r="B43" s="2"/>
      <c r="C43" s="2"/>
      <c r="D43" s="2"/>
      <c r="E43" s="2"/>
      <c r="F43" s="2"/>
      <c r="G43" s="2"/>
      <c r="H43" s="2"/>
      <c r="I43" s="2"/>
    </row>
    <row r="44" spans="1:9" ht="14.25">
      <c r="A44" s="66" t="s">
        <v>54</v>
      </c>
      <c r="B44" s="2"/>
      <c r="C44" s="2"/>
      <c r="D44" s="2"/>
      <c r="E44" s="2"/>
      <c r="F44" s="2"/>
      <c r="G44" s="2"/>
      <c r="H44" s="2"/>
      <c r="I44" s="2"/>
    </row>
    <row r="45" spans="1:9" ht="18">
      <c r="A45" s="67"/>
      <c r="B45" s="68" t="s">
        <v>55</v>
      </c>
      <c r="C45" s="69"/>
      <c r="D45" s="69"/>
      <c r="E45" s="70">
        <f>SUM(E29:E39)</f>
        <v>120.67374149659865</v>
      </c>
      <c r="F45" s="51"/>
      <c r="G45" s="51"/>
      <c r="H45" s="51"/>
      <c r="I45" s="2"/>
    </row>
    <row r="46" spans="1:9" ht="18.75">
      <c r="A46" s="67"/>
      <c r="B46" s="71" t="s">
        <v>56</v>
      </c>
      <c r="C46" s="72"/>
      <c r="D46" s="72"/>
      <c r="E46" s="73">
        <f>+E45/B25</f>
        <v>0.5692157617764088</v>
      </c>
      <c r="F46" s="74" t="s">
        <v>57</v>
      </c>
      <c r="G46" s="51"/>
      <c r="H46" s="51"/>
      <c r="I46" s="2"/>
    </row>
    <row r="47" spans="1:9" ht="15.75">
      <c r="A47" s="2"/>
      <c r="B47" s="68" t="s">
        <v>58</v>
      </c>
      <c r="C47" s="75"/>
      <c r="D47" s="76"/>
      <c r="E47" s="77">
        <f>IF(E40=0,((D29*F29)+(D30*F30)+(D31*F31)+(D32*F32)+(D33*F33)+(D34*F34)+(D35*F35)+(D36*F36)+(D37*F37)+(D38*F38)),"s.o.")</f>
        <v>18.796999999999997</v>
      </c>
      <c r="F47" s="78">
        <f>IF(E40=0,E47/((B4+B5)/2),"s.o.")</f>
        <v>0.02550474898236092</v>
      </c>
      <c r="G47" s="114" t="str">
        <f>IF(E40=0,(IF(E47&gt;(0.028*((B4+B5)/2)),"Trop de MS; réviser ration"&amp;ROUND(E47,2),IF(E47&lt;(0.022*((B4+B5)/2)),"Trop peu de MS; réviser ration"&amp;ROUND(E47,2),"O.K. consommation MS entre 2,2 à 2,8 % du poids vif"))),"s.o.")</f>
        <v>O.K. consommation MS entre 2,2 à 2,8 % du poids vif</v>
      </c>
      <c r="H47" s="115"/>
      <c r="I47" s="2"/>
    </row>
    <row r="48" spans="1:9" ht="15.75">
      <c r="A48" s="2"/>
      <c r="B48" s="68" t="s">
        <v>59</v>
      </c>
      <c r="C48" s="72"/>
      <c r="D48" s="72"/>
      <c r="E48" s="77">
        <f>IF(E40=0,((D29*F29+D30*F30+D31*F31+D32*F32+D33*F33+D34*F34+D35*F35+D36*F36+D37*F37+D38*F38+D39*F39)*B6/B25),"s.o.")</f>
        <v>7.802528301886791</v>
      </c>
      <c r="F48" s="51"/>
      <c r="G48" s="116"/>
      <c r="H48" s="117"/>
      <c r="I48" s="2"/>
    </row>
    <row r="49" spans="1:9" ht="15">
      <c r="A49" s="2"/>
      <c r="B49" s="79" t="s">
        <v>60</v>
      </c>
      <c r="C49" s="79"/>
      <c r="D49" s="79"/>
      <c r="E49" s="79"/>
      <c r="F49" s="79"/>
      <c r="G49" s="80"/>
      <c r="H49" s="80"/>
      <c r="I49" s="2"/>
    </row>
    <row r="50" spans="1:9" ht="15.75">
      <c r="A50" s="7" t="s">
        <v>61</v>
      </c>
      <c r="B50" s="3"/>
      <c r="C50" s="3"/>
      <c r="D50" s="3"/>
      <c r="E50" s="3"/>
      <c r="F50" s="3"/>
      <c r="G50" s="2"/>
      <c r="H50" s="2"/>
      <c r="I50" s="2"/>
    </row>
    <row r="51" spans="1:9" ht="16.5" thickBot="1">
      <c r="A51" s="6" t="s">
        <v>62</v>
      </c>
      <c r="B51" s="2"/>
      <c r="C51" s="2"/>
      <c r="D51" s="2"/>
      <c r="E51" s="2"/>
      <c r="F51" s="2"/>
      <c r="G51" s="2"/>
      <c r="H51" s="2"/>
      <c r="I51" s="2"/>
    </row>
    <row r="52" spans="1:9" ht="12.75">
      <c r="A52" s="2"/>
      <c r="B52" s="2"/>
      <c r="C52" s="81"/>
      <c r="D52" s="82"/>
      <c r="E52" s="82"/>
      <c r="F52" s="2"/>
      <c r="G52" s="2"/>
      <c r="H52" s="2"/>
      <c r="I52" s="83"/>
    </row>
    <row r="53" spans="1:9" ht="12.75">
      <c r="A53" s="84" t="s">
        <v>63</v>
      </c>
      <c r="B53" s="2"/>
      <c r="C53" s="2"/>
      <c r="D53" s="2"/>
      <c r="E53" s="2"/>
      <c r="F53" s="2"/>
      <c r="G53" s="2"/>
      <c r="H53" s="2"/>
      <c r="I53" s="83"/>
    </row>
    <row r="54" spans="1:9" ht="15">
      <c r="A54" s="85" t="s">
        <v>64</v>
      </c>
      <c r="B54" s="2"/>
      <c r="C54" s="2"/>
      <c r="D54" s="86"/>
      <c r="E54" s="5"/>
      <c r="F54" s="5"/>
      <c r="G54" s="2"/>
      <c r="H54" s="2"/>
      <c r="I54" s="2"/>
    </row>
    <row r="55" spans="1:9" ht="15">
      <c r="A55" s="85" t="s">
        <v>65</v>
      </c>
      <c r="B55" s="2"/>
      <c r="C55" s="2"/>
      <c r="D55" s="5"/>
      <c r="E55" s="5"/>
      <c r="F55" s="5"/>
      <c r="G55" s="2"/>
      <c r="H55" s="2"/>
      <c r="I55" s="2"/>
    </row>
    <row r="56" spans="1:9" ht="15">
      <c r="A56" s="14" t="s">
        <v>66</v>
      </c>
      <c r="B56" s="2"/>
      <c r="C56" s="2"/>
      <c r="D56" s="5"/>
      <c r="E56" s="5"/>
      <c r="F56" s="5"/>
      <c r="G56" s="2"/>
      <c r="H56" s="2"/>
      <c r="I56" s="2"/>
    </row>
    <row r="57" spans="1:9" ht="12.75">
      <c r="A57" s="87" t="s">
        <v>67</v>
      </c>
      <c r="B57" s="2"/>
      <c r="C57" s="2"/>
      <c r="D57" s="2"/>
      <c r="E57" s="2"/>
      <c r="F57" s="2"/>
      <c r="G57" s="2"/>
      <c r="H57" s="2"/>
      <c r="I57" s="2"/>
    </row>
  </sheetData>
  <mergeCells count="2">
    <mergeCell ref="A1:F1"/>
    <mergeCell ref="G47:H48"/>
  </mergeCells>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B2:H8"/>
  <sheetViews>
    <sheetView workbookViewId="0" topLeftCell="A7">
      <selection activeCell="C8" sqref="C8"/>
    </sheetView>
  </sheetViews>
  <sheetFormatPr defaultColWidth="11.421875" defaultRowHeight="12.75"/>
  <cols>
    <col min="2" max="2" width="58.28125" style="0" customWidth="1"/>
  </cols>
  <sheetData>
    <row r="2" ht="15.75">
      <c r="B2" s="99" t="s">
        <v>93</v>
      </c>
    </row>
    <row r="3" ht="4.5" customHeight="1"/>
    <row r="4" spans="2:8" ht="27.75" customHeight="1">
      <c r="B4" s="96" t="s">
        <v>108</v>
      </c>
      <c r="C4" s="105"/>
      <c r="D4" s="106"/>
      <c r="E4" s="106"/>
      <c r="F4" s="106"/>
      <c r="G4" s="106"/>
      <c r="H4" s="106"/>
    </row>
    <row r="5" ht="25.5">
      <c r="B5" s="96" t="s">
        <v>112</v>
      </c>
    </row>
    <row r="6" ht="142.5" customHeight="1">
      <c r="B6" s="96" t="s">
        <v>99</v>
      </c>
    </row>
    <row r="7" ht="140.25">
      <c r="B7" s="96" t="s">
        <v>100</v>
      </c>
    </row>
    <row r="8" spans="2:3" ht="76.5">
      <c r="B8" s="96" t="s">
        <v>113</v>
      </c>
      <c r="C8" s="104"/>
    </row>
  </sheetData>
  <printOptions/>
  <pageMargins left="0.75" right="0.75" top="1" bottom="1" header="0.4921259845" footer="0.492125984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I57"/>
  <sheetViews>
    <sheetView workbookViewId="0" topLeftCell="A7">
      <selection activeCell="F47" sqref="F47"/>
    </sheetView>
  </sheetViews>
  <sheetFormatPr defaultColWidth="11.421875" defaultRowHeight="12.75"/>
  <cols>
    <col min="1" max="1" width="33.28125" style="0" customWidth="1"/>
    <col min="2" max="2" width="11.28125" style="0" customWidth="1"/>
    <col min="3" max="3" width="1.57421875" style="0" customWidth="1"/>
    <col min="4" max="4" width="33.00390625" style="0" customWidth="1"/>
    <col min="5" max="5" width="13.140625" style="0" customWidth="1"/>
    <col min="6" max="6" width="13.421875" style="0" customWidth="1"/>
    <col min="7" max="7" width="11.28125" style="0" customWidth="1"/>
    <col min="8" max="8" width="10.28125" style="0" customWidth="1"/>
    <col min="9" max="9" width="4.28125" style="0" customWidth="1"/>
  </cols>
  <sheetData>
    <row r="1" spans="1:9" ht="26.25">
      <c r="A1" s="112" t="s">
        <v>68</v>
      </c>
      <c r="B1" s="113"/>
      <c r="C1" s="113"/>
      <c r="D1" s="113"/>
      <c r="E1" s="113"/>
      <c r="F1" s="113"/>
      <c r="G1" s="88"/>
      <c r="H1" s="89"/>
      <c r="I1" s="89"/>
    </row>
    <row r="2" spans="1:9" ht="23.25">
      <c r="A2" s="1" t="s">
        <v>0</v>
      </c>
      <c r="B2" s="2"/>
      <c r="C2" s="2"/>
      <c r="D2" s="2"/>
      <c r="E2" s="2"/>
      <c r="F2" s="2"/>
      <c r="G2" s="3" t="s">
        <v>69</v>
      </c>
      <c r="H2" s="2"/>
      <c r="I2" s="2"/>
    </row>
    <row r="3" spans="1:9" ht="15.75">
      <c r="A3" s="4" t="s">
        <v>2</v>
      </c>
      <c r="B3" s="5"/>
      <c r="C3" s="5"/>
      <c r="D3" s="6" t="s">
        <v>3</v>
      </c>
      <c r="E3" s="7" t="s">
        <v>4</v>
      </c>
      <c r="F3" s="8" t="s">
        <v>5</v>
      </c>
      <c r="G3" s="90"/>
      <c r="H3" s="90"/>
      <c r="I3" s="90"/>
    </row>
    <row r="4" spans="1:9" ht="15.75">
      <c r="A4" s="10" t="s">
        <v>6</v>
      </c>
      <c r="B4" s="11">
        <v>779</v>
      </c>
      <c r="C4" s="5"/>
      <c r="D4" s="10" t="s">
        <v>7</v>
      </c>
      <c r="E4" s="12">
        <f>B4*B23</f>
        <v>1075.02</v>
      </c>
      <c r="F4" s="13"/>
      <c r="G4" s="14"/>
      <c r="H4" s="2"/>
      <c r="I4" s="2"/>
    </row>
    <row r="5" spans="1:9" ht="15.75">
      <c r="A5" s="10" t="s">
        <v>8</v>
      </c>
      <c r="B5" s="11">
        <v>545</v>
      </c>
      <c r="C5" s="5"/>
      <c r="D5" s="10" t="s">
        <v>9</v>
      </c>
      <c r="E5" s="12">
        <f>B5*B22</f>
        <v>872</v>
      </c>
      <c r="F5" s="15"/>
      <c r="G5" s="16"/>
      <c r="H5" s="2"/>
      <c r="I5" s="2"/>
    </row>
    <row r="6" spans="1:9" ht="15.75">
      <c r="A6" s="10" t="s">
        <v>10</v>
      </c>
      <c r="B6" s="11">
        <v>109</v>
      </c>
      <c r="C6" s="5"/>
      <c r="D6" s="10" t="s">
        <v>11</v>
      </c>
      <c r="E6" s="12">
        <f>(E4+E5)/2*B8*0.01</f>
        <v>42.83444000000001</v>
      </c>
      <c r="F6" s="17"/>
      <c r="G6" s="2"/>
      <c r="H6" s="2"/>
      <c r="I6" s="2"/>
    </row>
    <row r="7" spans="1:9" ht="15.75">
      <c r="A7" s="10" t="s">
        <v>12</v>
      </c>
      <c r="B7" s="18">
        <f>(B4-B5)/B6</f>
        <v>2.146788990825688</v>
      </c>
      <c r="C7" s="5"/>
      <c r="D7" s="10" t="s">
        <v>70</v>
      </c>
      <c r="E7" s="12">
        <f>IF(B5&lt;450,IF((B4-(B4*B8*0.01))&lt;750,((B4-(B4*B8*0.01))-450)*F7,(750-450)*F7),IF((B4-(B4*B8*0.01))&lt;750,((B4-(B4*B8*0.01))-B5)*F7,(750-B5)*F7))</f>
        <v>95.86752000000001</v>
      </c>
      <c r="F7" s="19">
        <v>0.48</v>
      </c>
      <c r="G7" s="2"/>
      <c r="H7" s="2"/>
      <c r="I7" s="2"/>
    </row>
    <row r="8" spans="1:9" ht="15.75">
      <c r="A8" s="10" t="s">
        <v>14</v>
      </c>
      <c r="B8" s="20">
        <v>4.4</v>
      </c>
      <c r="C8" s="5"/>
      <c r="D8" s="10" t="s">
        <v>15</v>
      </c>
      <c r="E8" s="12">
        <f>IF(((B4-(B4*B8*0.01))-750)*F8&lt;0,0,((B4-(B4*B8*0.01))-750)*F8)</f>
        <v>0</v>
      </c>
      <c r="F8" s="21">
        <v>0.23</v>
      </c>
      <c r="G8" s="2"/>
      <c r="H8" s="2"/>
      <c r="I8" s="2"/>
    </row>
    <row r="9" spans="1:9" ht="15.75">
      <c r="A9" s="22"/>
      <c r="B9" s="23"/>
      <c r="C9" s="5"/>
      <c r="D9" s="22"/>
      <c r="E9" s="24"/>
      <c r="F9" s="25"/>
      <c r="G9" s="2"/>
      <c r="H9" s="2"/>
      <c r="I9" s="2"/>
    </row>
    <row r="10" spans="1:9" ht="15.75">
      <c r="A10" s="22"/>
      <c r="B10" s="26"/>
      <c r="C10" s="5"/>
      <c r="D10" s="27"/>
      <c r="E10" s="28"/>
      <c r="F10" s="29"/>
      <c r="G10" s="2"/>
      <c r="H10" s="2"/>
      <c r="I10" s="2"/>
    </row>
    <row r="11" spans="1:9" ht="15.75">
      <c r="A11" s="4" t="s">
        <v>16</v>
      </c>
      <c r="B11" s="5"/>
      <c r="C11" s="5"/>
      <c r="D11" s="6" t="s">
        <v>17</v>
      </c>
      <c r="E11" s="6" t="s">
        <v>4</v>
      </c>
      <c r="F11" s="30" t="s">
        <v>5</v>
      </c>
      <c r="G11" s="2"/>
      <c r="H11" s="2"/>
      <c r="I11" s="2"/>
    </row>
    <row r="12" spans="1:9" ht="15.75">
      <c r="A12" s="10" t="s">
        <v>18</v>
      </c>
      <c r="B12" s="31">
        <f>E46</f>
        <v>0.42909626528674144</v>
      </c>
      <c r="C12" s="5"/>
      <c r="D12" s="10" t="s">
        <v>19</v>
      </c>
      <c r="E12" s="32">
        <f>B12*B25</f>
        <v>100.40852607709749</v>
      </c>
      <c r="F12" s="33">
        <f aca="true" t="shared" si="0" ref="F12:F18">E12/$B$25</f>
        <v>0.42909626528674144</v>
      </c>
      <c r="G12" s="2"/>
      <c r="H12" s="2"/>
      <c r="I12" s="2"/>
    </row>
    <row r="13" spans="1:9" ht="15.75">
      <c r="A13" s="10" t="s">
        <v>20</v>
      </c>
      <c r="B13" s="34">
        <v>11</v>
      </c>
      <c r="C13" s="5"/>
      <c r="D13" s="10" t="s">
        <v>20</v>
      </c>
      <c r="E13" s="32">
        <f>B13</f>
        <v>11</v>
      </c>
      <c r="F13" s="33">
        <f t="shared" si="0"/>
        <v>0.04700854700854701</v>
      </c>
      <c r="G13" s="2"/>
      <c r="H13" s="2"/>
      <c r="I13" s="2"/>
    </row>
    <row r="14" spans="1:9" ht="15.75">
      <c r="A14" s="10" t="s">
        <v>21</v>
      </c>
      <c r="B14" s="34">
        <v>0</v>
      </c>
      <c r="C14" s="5"/>
      <c r="D14" s="10" t="s">
        <v>22</v>
      </c>
      <c r="E14" s="32">
        <f>B14</f>
        <v>0</v>
      </c>
      <c r="F14" s="33">
        <f t="shared" si="0"/>
        <v>0</v>
      </c>
      <c r="G14" s="2"/>
      <c r="H14" s="2"/>
      <c r="I14" s="2"/>
    </row>
    <row r="15" spans="1:9" ht="15.75">
      <c r="A15" s="10" t="s">
        <v>23</v>
      </c>
      <c r="B15" s="35">
        <v>0.4</v>
      </c>
      <c r="C15" s="5"/>
      <c r="D15" s="10" t="s">
        <v>24</v>
      </c>
      <c r="E15" s="32">
        <f>B15*B6</f>
        <v>43.6</v>
      </c>
      <c r="F15" s="33">
        <f t="shared" si="0"/>
        <v>0.18632478632478633</v>
      </c>
      <c r="G15" s="2"/>
      <c r="H15" s="2"/>
      <c r="I15" s="2"/>
    </row>
    <row r="16" spans="1:9" ht="15.75">
      <c r="A16" s="10" t="s">
        <v>25</v>
      </c>
      <c r="B16" s="36">
        <v>5.75</v>
      </c>
      <c r="C16" s="5"/>
      <c r="D16" s="10" t="s">
        <v>26</v>
      </c>
      <c r="E16" s="32">
        <f>((B12*B25)+(E5+E4))/2*B16*0.01*B6/365</f>
        <v>17.57843600984686</v>
      </c>
      <c r="F16" s="33">
        <f t="shared" si="0"/>
        <v>0.07512152140960197</v>
      </c>
      <c r="G16" s="2"/>
      <c r="H16" s="2"/>
      <c r="I16" s="2"/>
    </row>
    <row r="17" spans="1:9" ht="15.75">
      <c r="A17" s="22"/>
      <c r="B17" s="37"/>
      <c r="C17" s="5"/>
      <c r="D17" s="10" t="s">
        <v>17</v>
      </c>
      <c r="E17" s="32">
        <f>SUM(E12:E16)</f>
        <v>172.58696208694434</v>
      </c>
      <c r="F17" s="33">
        <f t="shared" si="0"/>
        <v>0.7375511200296767</v>
      </c>
      <c r="G17" s="2"/>
      <c r="H17" s="2"/>
      <c r="I17" s="2"/>
    </row>
    <row r="18" spans="1:9" ht="18.75">
      <c r="A18" s="22"/>
      <c r="B18" s="37"/>
      <c r="C18" s="5"/>
      <c r="D18" s="38" t="s">
        <v>27</v>
      </c>
      <c r="E18" s="39">
        <f>(E4-E5-E6+E7+E8-E17)</f>
        <v>83.46611791305568</v>
      </c>
      <c r="F18" s="40">
        <f t="shared" si="0"/>
        <v>0.35669281159425503</v>
      </c>
      <c r="G18" s="2"/>
      <c r="H18" s="2"/>
      <c r="I18" s="2"/>
    </row>
    <row r="19" spans="1:9" ht="18.75">
      <c r="A19" s="22"/>
      <c r="B19" s="37"/>
      <c r="C19" s="5"/>
      <c r="D19" s="41"/>
      <c r="E19" s="42"/>
      <c r="F19" s="43"/>
      <c r="G19" s="2"/>
      <c r="H19" s="2"/>
      <c r="I19" s="2"/>
    </row>
    <row r="20" spans="1:9" ht="15.75">
      <c r="A20" s="4"/>
      <c r="B20" s="5"/>
      <c r="C20" s="5"/>
      <c r="D20" s="2"/>
      <c r="E20" s="2"/>
      <c r="F20" s="2"/>
      <c r="G20" s="2"/>
      <c r="H20" s="44"/>
      <c r="I20" s="2"/>
    </row>
    <row r="21" spans="1:9" ht="15.75">
      <c r="A21" s="4" t="s">
        <v>28</v>
      </c>
      <c r="B21" s="45"/>
      <c r="C21" s="5"/>
      <c r="D21" s="46" t="s">
        <v>29</v>
      </c>
      <c r="E21" s="30" t="s">
        <v>4</v>
      </c>
      <c r="F21" s="30" t="s">
        <v>5</v>
      </c>
      <c r="G21" s="2"/>
      <c r="H21" s="44"/>
      <c r="I21" s="2"/>
    </row>
    <row r="22" spans="1:9" ht="15.75">
      <c r="A22" s="10" t="s">
        <v>30</v>
      </c>
      <c r="B22" s="35">
        <v>1.6</v>
      </c>
      <c r="C22" s="5"/>
      <c r="D22" s="47" t="s">
        <v>31</v>
      </c>
      <c r="E22" s="12">
        <f>E17+E5+E6-E7-E8</f>
        <v>991.5538820869444</v>
      </c>
      <c r="F22" s="33">
        <f>(E17+E5+E6-E7-E8)/B4</f>
        <v>1.2728547908689916</v>
      </c>
      <c r="G22" s="2"/>
      <c r="H22" s="2"/>
      <c r="I22" s="2"/>
    </row>
    <row r="23" spans="1:9" ht="15.75">
      <c r="A23" s="10" t="s">
        <v>32</v>
      </c>
      <c r="B23" s="35">
        <v>1.38</v>
      </c>
      <c r="C23" s="5"/>
      <c r="D23" s="47" t="s">
        <v>33</v>
      </c>
      <c r="E23" s="12">
        <f>(E4-E6-E17+E7+E8)</f>
        <v>955.4661179130555</v>
      </c>
      <c r="F23" s="33">
        <f>(E4-E6-E17+E7+E8)/B5</f>
        <v>1.7531488402074413</v>
      </c>
      <c r="G23" s="2"/>
      <c r="H23" s="2"/>
      <c r="I23" s="2"/>
    </row>
    <row r="24" spans="1:9" ht="15">
      <c r="A24" s="2"/>
      <c r="B24" s="2"/>
      <c r="C24" s="5"/>
      <c r="D24" s="5"/>
      <c r="E24" s="48"/>
      <c r="F24" s="48"/>
      <c r="G24" s="2"/>
      <c r="H24" s="2"/>
      <c r="I24" s="2"/>
    </row>
    <row r="25" spans="1:9" ht="15.75">
      <c r="A25" s="10" t="s">
        <v>34</v>
      </c>
      <c r="B25" s="49">
        <f>B4-B5</f>
        <v>234</v>
      </c>
      <c r="C25" s="5"/>
      <c r="D25" s="10" t="s">
        <v>35</v>
      </c>
      <c r="E25" s="50">
        <f>B25/B6</f>
        <v>2.146788990825688</v>
      </c>
      <c r="F25" s="51"/>
      <c r="G25" s="2"/>
      <c r="H25" s="2"/>
      <c r="I25" s="2"/>
    </row>
    <row r="26" spans="1:9" ht="15">
      <c r="A26" s="2"/>
      <c r="B26" s="2"/>
      <c r="C26" s="5"/>
      <c r="D26" s="2"/>
      <c r="E26" s="2"/>
      <c r="F26" s="2"/>
      <c r="G26" s="2"/>
      <c r="H26" s="2"/>
      <c r="I26" s="2"/>
    </row>
    <row r="27" spans="1:9" ht="15">
      <c r="A27" s="5"/>
      <c r="B27" s="5"/>
      <c r="C27" s="5"/>
      <c r="D27" s="2"/>
      <c r="E27" s="2"/>
      <c r="F27" s="2"/>
      <c r="G27" s="2"/>
      <c r="H27" s="2"/>
      <c r="I27" s="2"/>
    </row>
    <row r="28" spans="1:9" ht="18">
      <c r="A28" s="6" t="s">
        <v>36</v>
      </c>
      <c r="B28" s="52" t="s">
        <v>37</v>
      </c>
      <c r="C28" s="5"/>
      <c r="D28" s="52" t="s">
        <v>38</v>
      </c>
      <c r="E28" s="53"/>
      <c r="F28" s="52" t="s">
        <v>39</v>
      </c>
      <c r="G28" s="2"/>
      <c r="H28" s="2"/>
      <c r="I28" s="2"/>
    </row>
    <row r="29" spans="1:9" ht="18">
      <c r="A29" s="54" t="s">
        <v>40</v>
      </c>
      <c r="B29" s="55"/>
      <c r="C29" s="56"/>
      <c r="D29" s="57"/>
      <c r="E29" s="12">
        <f aca="true" t="shared" si="1" ref="E29:E39">+(B29/1000/2.205)*D29*$B$6</f>
        <v>0</v>
      </c>
      <c r="F29" s="58">
        <v>0.89</v>
      </c>
      <c r="G29" s="59"/>
      <c r="H29" s="2"/>
      <c r="I29" s="2"/>
    </row>
    <row r="30" spans="1:9" ht="18">
      <c r="A30" s="54" t="s">
        <v>85</v>
      </c>
      <c r="B30" s="55">
        <v>56</v>
      </c>
      <c r="C30" s="2"/>
      <c r="D30" s="57">
        <v>17.5</v>
      </c>
      <c r="E30" s="12">
        <f t="shared" si="1"/>
        <v>48.44444444444444</v>
      </c>
      <c r="F30" s="58">
        <v>0.56</v>
      </c>
      <c r="G30" s="59"/>
      <c r="H30" s="2"/>
      <c r="I30" s="2"/>
    </row>
    <row r="31" spans="1:9" ht="18">
      <c r="A31" s="54" t="s">
        <v>41</v>
      </c>
      <c r="B31" s="55">
        <v>48</v>
      </c>
      <c r="C31" s="2"/>
      <c r="D31" s="57">
        <v>17.5</v>
      </c>
      <c r="E31" s="12">
        <f t="shared" si="1"/>
        <v>41.52380952380952</v>
      </c>
      <c r="F31" s="58">
        <v>0.41</v>
      </c>
      <c r="G31" s="59"/>
      <c r="H31" s="2"/>
      <c r="I31" s="2"/>
    </row>
    <row r="32" spans="1:9" ht="18">
      <c r="A32" s="54" t="s">
        <v>71</v>
      </c>
      <c r="B32" s="55"/>
      <c r="C32" s="2"/>
      <c r="D32" s="57"/>
      <c r="E32" s="12">
        <f t="shared" si="1"/>
        <v>0</v>
      </c>
      <c r="F32" s="58">
        <v>0.88</v>
      </c>
      <c r="G32" s="59"/>
      <c r="H32" s="2"/>
      <c r="I32" s="2"/>
    </row>
    <row r="33" spans="1:9" ht="18">
      <c r="A33" s="54" t="s">
        <v>72</v>
      </c>
      <c r="B33" s="55">
        <v>220</v>
      </c>
      <c r="C33" s="2"/>
      <c r="D33" s="57"/>
      <c r="E33" s="12">
        <f t="shared" si="1"/>
        <v>0</v>
      </c>
      <c r="F33" s="58">
        <v>0.88</v>
      </c>
      <c r="G33" s="59"/>
      <c r="H33" s="2"/>
      <c r="I33" s="2"/>
    </row>
    <row r="34" spans="1:9" ht="18">
      <c r="A34" s="54" t="s">
        <v>73</v>
      </c>
      <c r="B34" s="55">
        <v>567</v>
      </c>
      <c r="C34" s="2"/>
      <c r="D34" s="63"/>
      <c r="E34" s="12">
        <f t="shared" si="1"/>
        <v>0</v>
      </c>
      <c r="F34" s="58">
        <v>0.89</v>
      </c>
      <c r="G34" s="59"/>
      <c r="H34" s="2"/>
      <c r="I34" s="2"/>
    </row>
    <row r="35" spans="1:9" ht="18">
      <c r="A35" s="54" t="s">
        <v>46</v>
      </c>
      <c r="B35" s="55">
        <v>960</v>
      </c>
      <c r="C35" s="2"/>
      <c r="D35" s="62">
        <v>0.22</v>
      </c>
      <c r="E35" s="12">
        <f t="shared" si="1"/>
        <v>10.440272108843537</v>
      </c>
      <c r="F35" s="58">
        <v>1</v>
      </c>
      <c r="G35" s="59"/>
      <c r="H35" s="2"/>
      <c r="I35" s="2"/>
    </row>
    <row r="36" spans="1:9" ht="18">
      <c r="A36" s="54" t="s">
        <v>47</v>
      </c>
      <c r="B36" s="55"/>
      <c r="C36" s="2"/>
      <c r="D36" s="57">
        <v>0</v>
      </c>
      <c r="E36" s="12">
        <f t="shared" si="1"/>
        <v>0</v>
      </c>
      <c r="F36" s="58">
        <v>0.89</v>
      </c>
      <c r="G36" s="59"/>
      <c r="H36" s="2"/>
      <c r="I36" s="2"/>
    </row>
    <row r="37" spans="1:9" ht="18">
      <c r="A37" s="54" t="s">
        <v>74</v>
      </c>
      <c r="B37" s="55">
        <v>270</v>
      </c>
      <c r="C37" s="2"/>
      <c r="D37" s="63"/>
      <c r="E37" s="12">
        <f t="shared" si="1"/>
        <v>0</v>
      </c>
      <c r="F37" s="58">
        <v>0.88</v>
      </c>
      <c r="G37" s="59"/>
      <c r="H37" s="2"/>
      <c r="I37" s="2"/>
    </row>
    <row r="38" spans="1:9" ht="18">
      <c r="A38" s="54" t="s">
        <v>49</v>
      </c>
      <c r="B38" s="55"/>
      <c r="C38" s="2"/>
      <c r="D38" s="57">
        <v>0</v>
      </c>
      <c r="E38" s="12">
        <f t="shared" si="1"/>
        <v>0</v>
      </c>
      <c r="F38" s="58">
        <v>1</v>
      </c>
      <c r="G38" s="59"/>
      <c r="H38" s="2"/>
      <c r="I38" s="2"/>
    </row>
    <row r="39" spans="1:9" ht="18">
      <c r="A39" s="54" t="s">
        <v>50</v>
      </c>
      <c r="B39" s="55"/>
      <c r="C39" s="2"/>
      <c r="D39" s="57">
        <v>0</v>
      </c>
      <c r="E39" s="12">
        <f t="shared" si="1"/>
        <v>0</v>
      </c>
      <c r="F39" s="58">
        <v>0.18</v>
      </c>
      <c r="G39" s="59"/>
      <c r="H39" s="2"/>
      <c r="I39" s="2"/>
    </row>
    <row r="40" spans="1:9" ht="18">
      <c r="A40" s="55"/>
      <c r="B40" s="55"/>
      <c r="C40" s="56"/>
      <c r="D40" s="57"/>
      <c r="E40" s="55"/>
      <c r="F40" s="64"/>
      <c r="G40" s="59"/>
      <c r="H40" s="2"/>
      <c r="I40" s="2"/>
    </row>
    <row r="41" spans="1:9" ht="14.25">
      <c r="A41" s="65" t="s">
        <v>51</v>
      </c>
      <c r="B41" s="2"/>
      <c r="C41" s="2"/>
      <c r="D41" s="2"/>
      <c r="E41" s="2"/>
      <c r="F41" s="2"/>
      <c r="G41" s="2"/>
      <c r="H41" s="2"/>
      <c r="I41" s="2"/>
    </row>
    <row r="42" spans="1:9" ht="14.25">
      <c r="A42" s="66" t="s">
        <v>52</v>
      </c>
      <c r="B42" s="2"/>
      <c r="C42" s="2"/>
      <c r="D42" s="2"/>
      <c r="E42" s="2"/>
      <c r="F42" s="2"/>
      <c r="G42" s="2"/>
      <c r="H42" s="2"/>
      <c r="I42" s="2"/>
    </row>
    <row r="43" spans="1:9" ht="14.25">
      <c r="A43" s="66" t="s">
        <v>53</v>
      </c>
      <c r="B43" s="2"/>
      <c r="C43" s="2"/>
      <c r="D43" s="2"/>
      <c r="E43" s="2"/>
      <c r="F43" s="2"/>
      <c r="G43" s="2"/>
      <c r="H43" s="2"/>
      <c r="I43" s="2"/>
    </row>
    <row r="44" spans="1:9" ht="14.25">
      <c r="A44" s="66" t="s">
        <v>54</v>
      </c>
      <c r="B44" s="2"/>
      <c r="C44" s="2"/>
      <c r="D44" s="2"/>
      <c r="E44" s="2"/>
      <c r="F44" s="2"/>
      <c r="G44" s="2"/>
      <c r="H44" s="2"/>
      <c r="I44" s="2"/>
    </row>
    <row r="45" spans="1:9" ht="18">
      <c r="A45" s="67"/>
      <c r="B45" s="68" t="s">
        <v>55</v>
      </c>
      <c r="C45" s="69"/>
      <c r="D45" s="69"/>
      <c r="E45" s="70">
        <f>SUM(E29:E39)</f>
        <v>100.40852607709749</v>
      </c>
      <c r="F45" s="51"/>
      <c r="G45" s="51"/>
      <c r="H45" s="51"/>
      <c r="I45" s="2"/>
    </row>
    <row r="46" spans="1:9" ht="15.75" customHeight="1">
      <c r="A46" s="67"/>
      <c r="B46" s="71" t="s">
        <v>56</v>
      </c>
      <c r="C46" s="72"/>
      <c r="D46" s="72"/>
      <c r="E46" s="73">
        <f>+E45/B25</f>
        <v>0.42909626528674144</v>
      </c>
      <c r="F46" s="74" t="s">
        <v>57</v>
      </c>
      <c r="G46" s="51"/>
      <c r="H46" s="51"/>
      <c r="I46" s="2"/>
    </row>
    <row r="47" spans="1:9" ht="15.75">
      <c r="A47" s="2"/>
      <c r="B47" s="68" t="s">
        <v>58</v>
      </c>
      <c r="C47" s="75"/>
      <c r="D47" s="76"/>
      <c r="E47" s="77">
        <f>IF(E40=0,((D29*F29)+(D30*F30)+(D31*F31)+(D32*F32)+(D33*F33)+(D34*F34)+(D35*F35)+(D36*F36)+(D37*F37)+(D38*F38)),"s.o.")</f>
        <v>17.195</v>
      </c>
      <c r="F47" s="78">
        <f>IF(E40=0,E47/((B4+B5)/2),"s.o.")</f>
        <v>0.025974320241691842</v>
      </c>
      <c r="G47" s="114" t="str">
        <f>IF(E40=0,(IF(E47&gt;(0.028*((B4+B5)/2)),"Trop de MS; réviser ration"&amp;ROUND(E47,2),IF(E47&lt;(0.022*((B4+B5)/2)),"Trop peu de MS; réviser ration"&amp;ROUND(E47,2),"O.K. consommation MS entre 2,2 à 2,8 % du poids vif"))),"s.o.")</f>
        <v>O.K. consommation MS entre 2,2 à 2,8 % du poids vif</v>
      </c>
      <c r="H47" s="115"/>
      <c r="I47" s="2"/>
    </row>
    <row r="48" spans="1:9" ht="15.75">
      <c r="A48" s="2"/>
      <c r="B48" s="68" t="s">
        <v>59</v>
      </c>
      <c r="C48" s="72"/>
      <c r="D48" s="72"/>
      <c r="E48" s="77">
        <f>IF(E40=0,((D29*F29+D30*F30+D31*F31+D32*F32+D33*F33+D34*F34+D35*F35+D36*F36+D37*F37+D38*F38+D39*F39)*B6/B25),"s.o.")</f>
        <v>8.009636752136753</v>
      </c>
      <c r="F48" s="51"/>
      <c r="G48" s="116"/>
      <c r="H48" s="117"/>
      <c r="I48" s="2"/>
    </row>
    <row r="49" spans="1:9" ht="15">
      <c r="A49" s="2"/>
      <c r="B49" s="79" t="s">
        <v>60</v>
      </c>
      <c r="C49" s="79"/>
      <c r="D49" s="79"/>
      <c r="E49" s="79"/>
      <c r="F49" s="79"/>
      <c r="G49" s="80"/>
      <c r="H49" s="80"/>
      <c r="I49" s="2"/>
    </row>
    <row r="50" spans="1:9" ht="15.75">
      <c r="A50" s="7" t="s">
        <v>61</v>
      </c>
      <c r="B50" s="3"/>
      <c r="C50" s="3"/>
      <c r="D50" s="3"/>
      <c r="E50" s="3"/>
      <c r="F50" s="3"/>
      <c r="G50" s="2"/>
      <c r="H50" s="2"/>
      <c r="I50" s="2"/>
    </row>
    <row r="51" spans="1:9" ht="16.5" thickBot="1">
      <c r="A51" s="6" t="s">
        <v>62</v>
      </c>
      <c r="B51" s="2"/>
      <c r="C51" s="2"/>
      <c r="D51" s="2"/>
      <c r="E51" s="2"/>
      <c r="F51" s="2"/>
      <c r="G51" s="2"/>
      <c r="H51" s="2"/>
      <c r="I51" s="2"/>
    </row>
    <row r="52" spans="1:9" ht="12.75">
      <c r="A52" s="2"/>
      <c r="B52" s="2"/>
      <c r="C52" s="81"/>
      <c r="D52" s="82"/>
      <c r="E52" s="82"/>
      <c r="F52" s="2"/>
      <c r="G52" s="2"/>
      <c r="H52" s="2"/>
      <c r="I52" s="83"/>
    </row>
    <row r="53" spans="1:9" ht="12.75">
      <c r="A53" s="84" t="s">
        <v>63</v>
      </c>
      <c r="B53" s="2"/>
      <c r="C53" s="2"/>
      <c r="D53" s="2"/>
      <c r="E53" s="2"/>
      <c r="F53" s="2"/>
      <c r="G53" s="2"/>
      <c r="H53" s="2"/>
      <c r="I53" s="83"/>
    </row>
    <row r="54" spans="1:9" ht="15">
      <c r="A54" s="85" t="s">
        <v>64</v>
      </c>
      <c r="B54" s="2"/>
      <c r="C54" s="2"/>
      <c r="D54" s="86"/>
      <c r="E54" s="5"/>
      <c r="F54" s="5"/>
      <c r="G54" s="2"/>
      <c r="H54" s="2"/>
      <c r="I54" s="2"/>
    </row>
    <row r="55" spans="1:9" ht="15">
      <c r="A55" s="85" t="s">
        <v>65</v>
      </c>
      <c r="B55" s="2"/>
      <c r="C55" s="2"/>
      <c r="D55" s="5"/>
      <c r="E55" s="5"/>
      <c r="F55" s="5"/>
      <c r="G55" s="2"/>
      <c r="H55" s="2"/>
      <c r="I55" s="2"/>
    </row>
    <row r="56" spans="1:9" ht="15">
      <c r="A56" s="14" t="s">
        <v>75</v>
      </c>
      <c r="B56" s="2"/>
      <c r="C56" s="2"/>
      <c r="D56" s="5"/>
      <c r="E56" s="5"/>
      <c r="F56" s="5"/>
      <c r="G56" s="2"/>
      <c r="H56" s="2"/>
      <c r="I56" s="2"/>
    </row>
    <row r="57" spans="1:9" ht="12.75">
      <c r="A57" s="87" t="s">
        <v>67</v>
      </c>
      <c r="B57" s="2"/>
      <c r="C57" s="2"/>
      <c r="D57" s="2"/>
      <c r="E57" s="2"/>
      <c r="F57" s="2"/>
      <c r="G57" s="2"/>
      <c r="H57" s="2"/>
      <c r="I57" s="2"/>
    </row>
  </sheetData>
  <mergeCells count="2">
    <mergeCell ref="A1:F1"/>
    <mergeCell ref="G47:H48"/>
  </mergeCells>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B2:F5"/>
  <sheetViews>
    <sheetView workbookViewId="0" topLeftCell="A1">
      <selection activeCell="A4" sqref="A4"/>
    </sheetView>
  </sheetViews>
  <sheetFormatPr defaultColWidth="11.421875" defaultRowHeight="12.75"/>
  <cols>
    <col min="2" max="2" width="38.28125" style="0" customWidth="1"/>
    <col min="3" max="3" width="41.421875" style="0" customWidth="1"/>
  </cols>
  <sheetData>
    <row r="2" ht="15.75">
      <c r="B2" s="99" t="s">
        <v>94</v>
      </c>
    </row>
    <row r="4" spans="2:6" ht="91.5" customHeight="1">
      <c r="B4" s="96" t="s">
        <v>115</v>
      </c>
      <c r="C4" s="108"/>
      <c r="D4" s="103"/>
      <c r="E4" s="103"/>
      <c r="F4" s="103"/>
    </row>
    <row r="5" spans="2:5" ht="38.25">
      <c r="B5" s="96" t="s">
        <v>114</v>
      </c>
      <c r="C5" s="103"/>
      <c r="E5" s="103"/>
    </row>
  </sheetData>
  <printOptions/>
  <pageMargins left="0.75" right="0.75" top="1" bottom="1" header="0.4921259845" footer="0.492125984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I57"/>
  <sheetViews>
    <sheetView tabSelected="1" workbookViewId="0" topLeftCell="A10">
      <selection activeCell="H21" sqref="H21"/>
    </sheetView>
  </sheetViews>
  <sheetFormatPr defaultColWidth="11.421875" defaultRowHeight="12.75"/>
  <cols>
    <col min="1" max="1" width="33.28125" style="0" customWidth="1"/>
    <col min="2" max="2" width="11.28125" style="0" customWidth="1"/>
    <col min="3" max="3" width="1.57421875" style="0" customWidth="1"/>
    <col min="4" max="4" width="33.00390625" style="0" customWidth="1"/>
    <col min="5" max="5" width="13.140625" style="0" customWidth="1"/>
    <col min="6" max="6" width="13.421875" style="0" customWidth="1"/>
    <col min="7" max="7" width="11.28125" style="0" customWidth="1"/>
    <col min="8" max="8" width="10.28125" style="0" customWidth="1"/>
    <col min="9" max="9" width="4.28125" style="0" customWidth="1"/>
  </cols>
  <sheetData>
    <row r="1" spans="1:9" ht="26.25">
      <c r="A1" s="112" t="s">
        <v>68</v>
      </c>
      <c r="B1" s="113"/>
      <c r="C1" s="113"/>
      <c r="D1" s="113"/>
      <c r="E1" s="113"/>
      <c r="F1" s="113"/>
      <c r="G1" s="88"/>
      <c r="H1" s="89"/>
      <c r="I1" s="89"/>
    </row>
    <row r="2" spans="1:9" ht="23.25">
      <c r="A2" s="1" t="s">
        <v>0</v>
      </c>
      <c r="B2" s="2"/>
      <c r="C2" s="2"/>
      <c r="D2" s="2"/>
      <c r="E2" s="2"/>
      <c r="F2" s="2"/>
      <c r="G2" s="3" t="s">
        <v>89</v>
      </c>
      <c r="H2" s="2"/>
      <c r="I2" s="2"/>
    </row>
    <row r="3" spans="1:9" ht="15.75">
      <c r="A3" s="4" t="s">
        <v>2</v>
      </c>
      <c r="B3" s="5"/>
      <c r="C3" s="5"/>
      <c r="D3" s="6" t="s">
        <v>3</v>
      </c>
      <c r="E3" s="7" t="s">
        <v>4</v>
      </c>
      <c r="F3" s="8" t="s">
        <v>5</v>
      </c>
      <c r="G3" s="90"/>
      <c r="H3" s="90"/>
      <c r="I3" s="90"/>
    </row>
    <row r="4" spans="1:9" ht="15.75">
      <c r="A4" s="10" t="s">
        <v>6</v>
      </c>
      <c r="B4" s="11">
        <v>853</v>
      </c>
      <c r="C4" s="5"/>
      <c r="D4" s="10" t="s">
        <v>7</v>
      </c>
      <c r="E4" s="12">
        <f>B4*B23</f>
        <v>1147.285</v>
      </c>
      <c r="F4" s="13"/>
      <c r="G4" s="14"/>
      <c r="H4" s="2"/>
      <c r="I4" s="2"/>
    </row>
    <row r="5" spans="1:9" ht="15.75">
      <c r="A5" s="10" t="s">
        <v>8</v>
      </c>
      <c r="B5" s="11">
        <v>555</v>
      </c>
      <c r="C5" s="5"/>
      <c r="D5" s="10" t="s">
        <v>9</v>
      </c>
      <c r="E5" s="12">
        <f>B5*B22</f>
        <v>843.6</v>
      </c>
      <c r="F5" s="15"/>
      <c r="G5" s="16"/>
      <c r="H5" s="2"/>
      <c r="I5" s="2"/>
    </row>
    <row r="6" spans="1:9" ht="15.75">
      <c r="A6" s="10" t="s">
        <v>10</v>
      </c>
      <c r="B6" s="11">
        <v>128</v>
      </c>
      <c r="C6" s="5"/>
      <c r="D6" s="10" t="s">
        <v>11</v>
      </c>
      <c r="E6" s="12">
        <f>(E4+E5)/2*B8*0.01</f>
        <v>29.863275000000005</v>
      </c>
      <c r="F6" s="17"/>
      <c r="G6" s="2"/>
      <c r="H6" s="2"/>
      <c r="I6" s="2"/>
    </row>
    <row r="7" spans="1:9" ht="15.75">
      <c r="A7" s="10" t="s">
        <v>12</v>
      </c>
      <c r="B7" s="18">
        <f>(B4-B5)/B6</f>
        <v>2.328125</v>
      </c>
      <c r="C7" s="5"/>
      <c r="D7" s="10" t="s">
        <v>70</v>
      </c>
      <c r="E7" s="12">
        <f>IF(B5&lt;450,IF((B4-(B4*B8*0.01))&lt;750,((B4-(B4*B8*0.01))-450)*F7,(750-450)*F7),IF((B4-(B4*B8*0.01))&lt;750,((B4-(B4*B8*0.01))-B5)*F7,(750-B5)*F7))</f>
        <v>93.6</v>
      </c>
      <c r="F7" s="19">
        <v>0.48</v>
      </c>
      <c r="G7" s="2"/>
      <c r="H7" s="2"/>
      <c r="I7" s="2"/>
    </row>
    <row r="8" spans="1:9" ht="15.75">
      <c r="A8" s="10" t="s">
        <v>14</v>
      </c>
      <c r="B8" s="20">
        <v>3</v>
      </c>
      <c r="C8" s="5"/>
      <c r="D8" s="10" t="s">
        <v>15</v>
      </c>
      <c r="E8" s="12">
        <f>IF(((B4-(B4*B8*0.01))-750)*F8&lt;0,0,((B4-(B4*B8*0.01))-750)*F8)</f>
        <v>17.030199999999994</v>
      </c>
      <c r="F8" s="21">
        <v>0.22</v>
      </c>
      <c r="G8" s="2"/>
      <c r="H8" s="2"/>
      <c r="I8" s="2"/>
    </row>
    <row r="9" spans="1:9" ht="15.75">
      <c r="A9" s="22"/>
      <c r="B9" s="23"/>
      <c r="C9" s="5"/>
      <c r="D9" s="22"/>
      <c r="E9" s="24"/>
      <c r="F9" s="25"/>
      <c r="G9" s="2"/>
      <c r="H9" s="2"/>
      <c r="I9" s="2"/>
    </row>
    <row r="10" spans="1:9" ht="15.75">
      <c r="A10" s="22"/>
      <c r="B10" s="26"/>
      <c r="C10" s="5"/>
      <c r="D10" s="27"/>
      <c r="E10" s="28"/>
      <c r="F10" s="29"/>
      <c r="G10" s="2"/>
      <c r="H10" s="2"/>
      <c r="I10" s="2"/>
    </row>
    <row r="11" spans="1:9" ht="15.75">
      <c r="A11" s="4" t="s">
        <v>16</v>
      </c>
      <c r="B11" s="5"/>
      <c r="C11" s="5"/>
      <c r="D11" s="6" t="s">
        <v>17</v>
      </c>
      <c r="E11" s="6" t="s">
        <v>4</v>
      </c>
      <c r="F11" s="30" t="s">
        <v>5</v>
      </c>
      <c r="G11" s="2"/>
      <c r="H11" s="2"/>
      <c r="I11" s="2"/>
    </row>
    <row r="12" spans="1:9" ht="15.75">
      <c r="A12" s="10" t="s">
        <v>18</v>
      </c>
      <c r="B12" s="31">
        <f>E46</f>
        <v>0.2769447107702141</v>
      </c>
      <c r="C12" s="5"/>
      <c r="D12" s="10" t="s">
        <v>19</v>
      </c>
      <c r="E12" s="32">
        <f>B12*B25</f>
        <v>82.5295238095238</v>
      </c>
      <c r="F12" s="33">
        <f aca="true" t="shared" si="0" ref="F12:F18">E12/$B$25</f>
        <v>0.2769447107702141</v>
      </c>
      <c r="G12" s="2"/>
      <c r="H12" s="2"/>
      <c r="I12" s="2"/>
    </row>
    <row r="13" spans="1:9" ht="15.75">
      <c r="A13" s="10" t="s">
        <v>20</v>
      </c>
      <c r="B13" s="34">
        <v>12</v>
      </c>
      <c r="C13" s="5"/>
      <c r="D13" s="10" t="s">
        <v>20</v>
      </c>
      <c r="E13" s="32">
        <f>B13</f>
        <v>12</v>
      </c>
      <c r="F13" s="33">
        <f t="shared" si="0"/>
        <v>0.040268456375838924</v>
      </c>
      <c r="G13" s="2"/>
      <c r="H13" s="2"/>
      <c r="I13" s="2"/>
    </row>
    <row r="14" spans="1:9" ht="15.75">
      <c r="A14" s="10" t="s">
        <v>21</v>
      </c>
      <c r="B14" s="34">
        <v>86</v>
      </c>
      <c r="C14" s="5"/>
      <c r="D14" s="10" t="s">
        <v>22</v>
      </c>
      <c r="E14" s="32">
        <f>B14</f>
        <v>86</v>
      </c>
      <c r="F14" s="33">
        <f t="shared" si="0"/>
        <v>0.28859060402684567</v>
      </c>
      <c r="G14" s="2"/>
      <c r="H14" s="2"/>
      <c r="I14" s="2"/>
    </row>
    <row r="15" spans="1:9" ht="15.75">
      <c r="A15" s="10" t="s">
        <v>23</v>
      </c>
      <c r="B15" s="35">
        <v>0.3</v>
      </c>
      <c r="C15" s="5"/>
      <c r="D15" s="10" t="s">
        <v>24</v>
      </c>
      <c r="E15" s="32">
        <f>B15*B6</f>
        <v>38.4</v>
      </c>
      <c r="F15" s="33">
        <f t="shared" si="0"/>
        <v>0.12885906040268455</v>
      </c>
      <c r="G15" s="2"/>
      <c r="H15" s="2"/>
      <c r="I15" s="2"/>
    </row>
    <row r="16" spans="1:9" ht="15.75">
      <c r="A16" s="10" t="s">
        <v>25</v>
      </c>
      <c r="B16" s="36">
        <v>5.75</v>
      </c>
      <c r="C16" s="5"/>
      <c r="D16" s="10" t="s">
        <v>26</v>
      </c>
      <c r="E16" s="32">
        <f>((B12*B25)+(E5+E4))/2*B16*0.01*B6/365</f>
        <v>20.90456287018917</v>
      </c>
      <c r="F16" s="33">
        <f t="shared" si="0"/>
        <v>0.07014953983284956</v>
      </c>
      <c r="G16" s="2"/>
      <c r="H16" s="2"/>
      <c r="I16" s="2"/>
    </row>
    <row r="17" spans="1:9" ht="15.75">
      <c r="A17" s="22"/>
      <c r="B17" s="37"/>
      <c r="C17" s="5"/>
      <c r="D17" s="10" t="s">
        <v>17</v>
      </c>
      <c r="E17" s="32">
        <f>SUM(E12:E16)</f>
        <v>239.83408667971298</v>
      </c>
      <c r="F17" s="33">
        <f t="shared" si="0"/>
        <v>0.8048123714084329</v>
      </c>
      <c r="G17" s="2"/>
      <c r="H17" s="2"/>
      <c r="I17" s="2"/>
    </row>
    <row r="18" spans="1:9" ht="18.75">
      <c r="A18" s="22"/>
      <c r="B18" s="37"/>
      <c r="C18" s="5"/>
      <c r="D18" s="38" t="s">
        <v>27</v>
      </c>
      <c r="E18" s="39">
        <f>(E4-E5-E6+E7+E8-E17)</f>
        <v>144.61783832028704</v>
      </c>
      <c r="F18" s="40">
        <f t="shared" si="0"/>
        <v>0.48529475946405043</v>
      </c>
      <c r="G18" s="2"/>
      <c r="H18" s="2"/>
      <c r="I18" s="2"/>
    </row>
    <row r="19" spans="1:9" ht="18.75">
      <c r="A19" s="22"/>
      <c r="B19" s="37"/>
      <c r="C19" s="5"/>
      <c r="D19" s="41"/>
      <c r="E19" s="42"/>
      <c r="F19" s="43"/>
      <c r="G19" s="2"/>
      <c r="H19" s="2"/>
      <c r="I19" s="2"/>
    </row>
    <row r="20" spans="1:9" ht="15.75">
      <c r="A20" s="4"/>
      <c r="B20" s="5"/>
      <c r="C20" s="5"/>
      <c r="D20" s="2"/>
      <c r="E20" s="2"/>
      <c r="F20" s="2"/>
      <c r="G20" s="2"/>
      <c r="H20" s="44"/>
      <c r="I20" s="2"/>
    </row>
    <row r="21" spans="1:9" ht="15.75">
      <c r="A21" s="4" t="s">
        <v>28</v>
      </c>
      <c r="B21" s="45"/>
      <c r="C21" s="5"/>
      <c r="D21" s="46" t="s">
        <v>29</v>
      </c>
      <c r="E21" s="30" t="s">
        <v>4</v>
      </c>
      <c r="F21" s="30" t="s">
        <v>5</v>
      </c>
      <c r="G21" s="2"/>
      <c r="H21" s="44"/>
      <c r="I21" s="2"/>
    </row>
    <row r="22" spans="1:9" ht="15.75">
      <c r="A22" s="10" t="s">
        <v>30</v>
      </c>
      <c r="B22" s="35">
        <v>1.52</v>
      </c>
      <c r="C22" s="5"/>
      <c r="D22" s="47" t="s">
        <v>31</v>
      </c>
      <c r="E22" s="12">
        <f>E17+E5+E6-E7-E8</f>
        <v>1002.6671616797128</v>
      </c>
      <c r="F22" s="33">
        <f>(E17+E5+E6-E7-E8)/B4</f>
        <v>1.1754597440559353</v>
      </c>
      <c r="G22" s="2"/>
      <c r="H22" s="2"/>
      <c r="I22" s="2"/>
    </row>
    <row r="23" spans="1:9" ht="15.75">
      <c r="A23" s="10" t="s">
        <v>32</v>
      </c>
      <c r="B23" s="35">
        <v>1.345</v>
      </c>
      <c r="C23" s="5"/>
      <c r="D23" s="47" t="s">
        <v>33</v>
      </c>
      <c r="E23" s="12">
        <f>(E4-E6-E17+E7+E8)</f>
        <v>988.2178383202872</v>
      </c>
      <c r="F23" s="33">
        <f>(E4-E6-E17+E7+E8)/B5</f>
        <v>1.7805726816581753</v>
      </c>
      <c r="G23" s="2"/>
      <c r="H23" s="2"/>
      <c r="I23" s="2"/>
    </row>
    <row r="24" spans="1:9" ht="15">
      <c r="A24" s="2"/>
      <c r="B24" s="2"/>
      <c r="C24" s="5"/>
      <c r="D24" s="5"/>
      <c r="E24" s="48"/>
      <c r="F24" s="48"/>
      <c r="G24" s="2"/>
      <c r="H24" s="2"/>
      <c r="I24" s="2"/>
    </row>
    <row r="25" spans="1:9" ht="15.75">
      <c r="A25" s="10" t="s">
        <v>34</v>
      </c>
      <c r="B25" s="49">
        <f>B4-B5</f>
        <v>298</v>
      </c>
      <c r="C25" s="5"/>
      <c r="D25" s="10" t="s">
        <v>35</v>
      </c>
      <c r="E25" s="50">
        <f>B25/B6</f>
        <v>2.328125</v>
      </c>
      <c r="F25" s="51"/>
      <c r="G25" s="2"/>
      <c r="H25" s="2"/>
      <c r="I25" s="2"/>
    </row>
    <row r="26" spans="1:9" ht="15">
      <c r="A26" s="2"/>
      <c r="B26" s="2"/>
      <c r="C26" s="5"/>
      <c r="D26" s="2"/>
      <c r="E26" s="2"/>
      <c r="F26" s="2"/>
      <c r="G26" s="2"/>
      <c r="H26" s="2"/>
      <c r="I26" s="2"/>
    </row>
    <row r="27" spans="1:9" ht="15">
      <c r="A27" s="5"/>
      <c r="B27" s="5"/>
      <c r="C27" s="5"/>
      <c r="D27" s="2"/>
      <c r="E27" s="2"/>
      <c r="F27" s="2"/>
      <c r="G27" s="2"/>
      <c r="H27" s="2"/>
      <c r="I27" s="2"/>
    </row>
    <row r="28" spans="1:9" ht="18">
      <c r="A28" s="6" t="s">
        <v>36</v>
      </c>
      <c r="B28" s="52" t="s">
        <v>37</v>
      </c>
      <c r="C28" s="5"/>
      <c r="D28" s="52" t="s">
        <v>38</v>
      </c>
      <c r="E28" s="53"/>
      <c r="F28" s="52" t="s">
        <v>39</v>
      </c>
      <c r="G28" s="2"/>
      <c r="H28" s="2"/>
      <c r="I28" s="2"/>
    </row>
    <row r="29" spans="1:9" ht="18">
      <c r="A29" s="54" t="s">
        <v>40</v>
      </c>
      <c r="B29" s="55"/>
      <c r="C29" s="56"/>
      <c r="D29" s="57"/>
      <c r="E29" s="12">
        <f aca="true" t="shared" si="1" ref="E29:E39">+(B29/1000/2.205)*D29*$B$6</f>
        <v>0</v>
      </c>
      <c r="F29" s="58">
        <v>0.89</v>
      </c>
      <c r="G29" s="59"/>
      <c r="H29" s="2"/>
      <c r="I29" s="2"/>
    </row>
    <row r="30" spans="1:9" ht="18">
      <c r="A30" s="54" t="s">
        <v>85</v>
      </c>
      <c r="B30" s="55">
        <v>42</v>
      </c>
      <c r="C30" s="2"/>
      <c r="D30" s="57">
        <v>7.9</v>
      </c>
      <c r="E30" s="12">
        <f t="shared" si="1"/>
        <v>19.260952380952382</v>
      </c>
      <c r="F30" s="58">
        <v>0.42</v>
      </c>
      <c r="G30" s="59"/>
      <c r="H30" s="2"/>
      <c r="I30" s="2"/>
    </row>
    <row r="31" spans="1:9" ht="18">
      <c r="A31" s="54" t="s">
        <v>41</v>
      </c>
      <c r="B31" s="55"/>
      <c r="C31" s="2"/>
      <c r="D31" s="57"/>
      <c r="E31" s="12">
        <f t="shared" si="1"/>
        <v>0</v>
      </c>
      <c r="F31" s="58">
        <v>0.41</v>
      </c>
      <c r="G31" s="59"/>
      <c r="H31" s="2"/>
      <c r="I31" s="2"/>
    </row>
    <row r="32" spans="1:9" ht="18">
      <c r="A32" s="54" t="s">
        <v>71</v>
      </c>
      <c r="B32" s="55"/>
      <c r="C32" s="2"/>
      <c r="D32" s="57"/>
      <c r="E32" s="12">
        <f t="shared" si="1"/>
        <v>0</v>
      </c>
      <c r="F32" s="58">
        <v>0.88</v>
      </c>
      <c r="G32" s="59"/>
      <c r="H32" s="2"/>
      <c r="I32" s="2"/>
    </row>
    <row r="33" spans="1:9" ht="18">
      <c r="A33" s="54" t="s">
        <v>72</v>
      </c>
      <c r="B33" s="55"/>
      <c r="C33" s="2"/>
      <c r="D33" s="57"/>
      <c r="E33" s="12">
        <f t="shared" si="1"/>
        <v>0</v>
      </c>
      <c r="F33" s="58">
        <v>0.88</v>
      </c>
      <c r="G33" s="59"/>
      <c r="H33" s="2"/>
      <c r="I33" s="2"/>
    </row>
    <row r="34" spans="1:9" ht="18">
      <c r="A34" s="54" t="s">
        <v>73</v>
      </c>
      <c r="B34" s="55"/>
      <c r="C34" s="2"/>
      <c r="D34" s="63"/>
      <c r="E34" s="12">
        <f t="shared" si="1"/>
        <v>0</v>
      </c>
      <c r="F34" s="58">
        <v>0.89</v>
      </c>
      <c r="G34" s="59"/>
      <c r="H34" s="2"/>
      <c r="I34" s="2"/>
    </row>
    <row r="35" spans="1:9" ht="18">
      <c r="A35" s="54" t="s">
        <v>46</v>
      </c>
      <c r="B35" s="55">
        <v>825</v>
      </c>
      <c r="C35" s="2"/>
      <c r="D35" s="62">
        <v>0.18</v>
      </c>
      <c r="E35" s="12">
        <f t="shared" si="1"/>
        <v>8.620408163265305</v>
      </c>
      <c r="F35" s="58">
        <v>1</v>
      </c>
      <c r="G35" s="59"/>
      <c r="H35" s="2"/>
      <c r="I35" s="2"/>
    </row>
    <row r="36" spans="1:9" ht="18">
      <c r="A36" s="54" t="s">
        <v>47</v>
      </c>
      <c r="B36" s="55"/>
      <c r="C36" s="2"/>
      <c r="D36" s="57">
        <v>0</v>
      </c>
      <c r="E36" s="12">
        <f t="shared" si="1"/>
        <v>0</v>
      </c>
      <c r="F36" s="58">
        <v>0.89</v>
      </c>
      <c r="G36" s="59"/>
      <c r="H36" s="2"/>
      <c r="I36" s="2"/>
    </row>
    <row r="37" spans="1:9" ht="18">
      <c r="A37" s="54" t="s">
        <v>74</v>
      </c>
      <c r="B37" s="55">
        <v>262</v>
      </c>
      <c r="C37" s="2"/>
      <c r="D37" s="63">
        <v>1.7</v>
      </c>
      <c r="E37" s="12">
        <f t="shared" si="1"/>
        <v>25.855419501133788</v>
      </c>
      <c r="F37" s="58">
        <v>0.88</v>
      </c>
      <c r="G37" s="59"/>
      <c r="H37" s="2"/>
      <c r="I37" s="2"/>
    </row>
    <row r="38" spans="1:9" ht="18">
      <c r="A38" s="54" t="s">
        <v>50</v>
      </c>
      <c r="B38" s="55">
        <v>8</v>
      </c>
      <c r="C38" s="2"/>
      <c r="D38" s="57">
        <v>62</v>
      </c>
      <c r="E38" s="12">
        <f t="shared" si="1"/>
        <v>28.792743764172332</v>
      </c>
      <c r="F38" s="58">
        <v>0.18</v>
      </c>
      <c r="G38" s="59"/>
      <c r="H38" s="2"/>
      <c r="I38" s="2"/>
    </row>
    <row r="39" spans="1:9" ht="18">
      <c r="A39" s="54"/>
      <c r="B39" s="55"/>
      <c r="C39" s="2"/>
      <c r="D39" s="57"/>
      <c r="E39" s="12">
        <f t="shared" si="1"/>
        <v>0</v>
      </c>
      <c r="F39" s="58"/>
      <c r="G39" s="59"/>
      <c r="H39" s="2"/>
      <c r="I39" s="2"/>
    </row>
    <row r="40" spans="1:9" ht="18">
      <c r="A40" s="55"/>
      <c r="B40" s="55"/>
      <c r="C40" s="56"/>
      <c r="D40" s="57"/>
      <c r="E40" s="55"/>
      <c r="F40" s="64"/>
      <c r="G40" s="59"/>
      <c r="H40" s="2"/>
      <c r="I40" s="2"/>
    </row>
    <row r="41" spans="1:9" ht="14.25">
      <c r="A41" s="65" t="s">
        <v>51</v>
      </c>
      <c r="B41" s="2"/>
      <c r="C41" s="2"/>
      <c r="D41" s="2"/>
      <c r="E41" s="2"/>
      <c r="F41" s="2"/>
      <c r="G41" s="2"/>
      <c r="H41" s="2"/>
      <c r="I41" s="2"/>
    </row>
    <row r="42" spans="1:9" ht="14.25">
      <c r="A42" s="66" t="s">
        <v>52</v>
      </c>
      <c r="B42" s="2"/>
      <c r="C42" s="2"/>
      <c r="D42" s="2"/>
      <c r="E42" s="2"/>
      <c r="F42" s="2"/>
      <c r="G42" s="2"/>
      <c r="H42" s="2"/>
      <c r="I42" s="2"/>
    </row>
    <row r="43" spans="1:9" ht="14.25">
      <c r="A43" s="66" t="s">
        <v>53</v>
      </c>
      <c r="B43" s="2"/>
      <c r="C43" s="2"/>
      <c r="D43" s="2"/>
      <c r="E43" s="2"/>
      <c r="F43" s="2"/>
      <c r="G43" s="2"/>
      <c r="H43" s="2"/>
      <c r="I43" s="2"/>
    </row>
    <row r="44" spans="1:9" ht="14.25">
      <c r="A44" s="66" t="s">
        <v>54</v>
      </c>
      <c r="B44" s="2"/>
      <c r="C44" s="2"/>
      <c r="D44" s="2"/>
      <c r="E44" s="2"/>
      <c r="F44" s="2"/>
      <c r="G44" s="2"/>
      <c r="H44" s="2"/>
      <c r="I44" s="2"/>
    </row>
    <row r="45" spans="1:9" ht="18">
      <c r="A45" s="67"/>
      <c r="B45" s="68" t="s">
        <v>55</v>
      </c>
      <c r="C45" s="69"/>
      <c r="D45" s="69"/>
      <c r="E45" s="70">
        <f>SUM(E29:E39)</f>
        <v>82.52952380952381</v>
      </c>
      <c r="F45" s="51"/>
      <c r="G45" s="51"/>
      <c r="H45" s="51"/>
      <c r="I45" s="2"/>
    </row>
    <row r="46" spans="1:9" ht="18.75">
      <c r="A46" s="67"/>
      <c r="B46" s="71" t="s">
        <v>56</v>
      </c>
      <c r="C46" s="72"/>
      <c r="D46" s="72"/>
      <c r="E46" s="73">
        <f>+E45/B25</f>
        <v>0.2769447107702141</v>
      </c>
      <c r="F46" s="74" t="s">
        <v>57</v>
      </c>
      <c r="G46" s="51"/>
      <c r="H46" s="51"/>
      <c r="I46" s="2"/>
    </row>
    <row r="47" spans="1:9" ht="15.75">
      <c r="A47" s="2"/>
      <c r="B47" s="68" t="s">
        <v>58</v>
      </c>
      <c r="C47" s="75"/>
      <c r="D47" s="76"/>
      <c r="E47" s="77">
        <f>IF(E40=0,((D29*F29)+(D30*F30)+(D31*F31)+(D32*F32)+(D33*F33)+(D34*F34)+(D35*F35)+(D36*F36)+(D37*F37)+(D38*F38)),"s.o.")</f>
        <v>16.154</v>
      </c>
      <c r="F47" s="78">
        <f>IF(E40=0,E47/((B4+B5)/2),"s.o.")</f>
        <v>0.022946022727272728</v>
      </c>
      <c r="G47" s="114" t="str">
        <f>IF(E40=0,(IF(E47&gt;(0.028*((B4+B5)/2)),"Trop de MS; réviser ration"&amp;ROUND(E47,2),IF(E47&lt;(0.022*((B4+B5)/2)),"Trop peu de MS; réviser ration"&amp;ROUND(E47,2),"O.K. consommation MS entre 2,2 à 2,8 % du poids vif"))),"s.o.")</f>
        <v>O.K. consommation MS entre 2,2 à 2,8 % du poids vif</v>
      </c>
      <c r="H47" s="115"/>
      <c r="I47" s="2"/>
    </row>
    <row r="48" spans="1:9" ht="15.75">
      <c r="A48" s="2"/>
      <c r="B48" s="68" t="s">
        <v>59</v>
      </c>
      <c r="C48" s="72"/>
      <c r="D48" s="72"/>
      <c r="E48" s="77">
        <f>IF(E40=0,((D29*F29+D30*F30+D31*F31+D32*F32+D33*F33+D34*F34+D35*F35+D36*F36+D37*F37+D38*F38+D39*F39)*B6/B25),"s.o.")</f>
        <v>6.9386308724832215</v>
      </c>
      <c r="F48" s="51"/>
      <c r="G48" s="116"/>
      <c r="H48" s="117"/>
      <c r="I48" s="2"/>
    </row>
    <row r="49" spans="1:9" ht="15">
      <c r="A49" s="2"/>
      <c r="B49" s="79" t="s">
        <v>60</v>
      </c>
      <c r="C49" s="79"/>
      <c r="D49" s="79"/>
      <c r="E49" s="79"/>
      <c r="F49" s="79"/>
      <c r="G49" s="80"/>
      <c r="H49" s="80"/>
      <c r="I49" s="2"/>
    </row>
    <row r="50" spans="1:9" ht="15.75">
      <c r="A50" s="7" t="s">
        <v>61</v>
      </c>
      <c r="B50" s="3"/>
      <c r="C50" s="3"/>
      <c r="D50" s="3"/>
      <c r="E50" s="3"/>
      <c r="F50" s="3"/>
      <c r="G50" s="2"/>
      <c r="H50" s="2"/>
      <c r="I50" s="2"/>
    </row>
    <row r="51" spans="1:9" ht="16.5" thickBot="1">
      <c r="A51" s="6" t="s">
        <v>62</v>
      </c>
      <c r="B51" s="2"/>
      <c r="C51" s="2"/>
      <c r="D51" s="2"/>
      <c r="E51" s="2"/>
      <c r="F51" s="2"/>
      <c r="G51" s="2"/>
      <c r="H51" s="2"/>
      <c r="I51" s="2"/>
    </row>
    <row r="52" spans="1:9" ht="12.75">
      <c r="A52" s="2"/>
      <c r="B52" s="2"/>
      <c r="C52" s="81"/>
      <c r="D52" s="82"/>
      <c r="E52" s="82"/>
      <c r="F52" s="2"/>
      <c r="G52" s="2"/>
      <c r="H52" s="2"/>
      <c r="I52" s="83"/>
    </row>
    <row r="53" spans="1:9" ht="12.75">
      <c r="A53" s="84" t="s">
        <v>63</v>
      </c>
      <c r="B53" s="2"/>
      <c r="C53" s="2"/>
      <c r="D53" s="2"/>
      <c r="E53" s="2"/>
      <c r="F53" s="2"/>
      <c r="G53" s="2"/>
      <c r="H53" s="2"/>
      <c r="I53" s="83"/>
    </row>
    <row r="54" spans="1:9" ht="15">
      <c r="A54" s="85" t="s">
        <v>64</v>
      </c>
      <c r="B54" s="2"/>
      <c r="C54" s="2"/>
      <c r="D54" s="86"/>
      <c r="E54" s="5"/>
      <c r="F54" s="5"/>
      <c r="G54" s="2"/>
      <c r="H54" s="2"/>
      <c r="I54" s="2"/>
    </row>
    <row r="55" spans="1:9" ht="15">
      <c r="A55" s="85" t="s">
        <v>65</v>
      </c>
      <c r="B55" s="2"/>
      <c r="C55" s="2"/>
      <c r="D55" s="5"/>
      <c r="E55" s="5"/>
      <c r="F55" s="5"/>
      <c r="G55" s="2"/>
      <c r="H55" s="2"/>
      <c r="I55" s="2"/>
    </row>
    <row r="56" spans="1:9" ht="15">
      <c r="A56" s="14" t="s">
        <v>75</v>
      </c>
      <c r="B56" s="2"/>
      <c r="C56" s="2"/>
      <c r="D56" s="5"/>
      <c r="E56" s="5"/>
      <c r="F56" s="5"/>
      <c r="G56" s="2"/>
      <c r="H56" s="2"/>
      <c r="I56" s="2"/>
    </row>
    <row r="57" spans="1:9" ht="12.75">
      <c r="A57" s="87" t="s">
        <v>67</v>
      </c>
      <c r="B57" s="2"/>
      <c r="C57" s="2"/>
      <c r="D57" s="2"/>
      <c r="E57" s="2"/>
      <c r="F57" s="2"/>
      <c r="G57" s="2"/>
      <c r="H57" s="2"/>
      <c r="I57" s="2"/>
    </row>
  </sheetData>
  <mergeCells count="2">
    <mergeCell ref="A1:F1"/>
    <mergeCell ref="G47:H48"/>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AGRA843</dc:creator>
  <cp:keywords/>
  <dc:description/>
  <cp:lastModifiedBy>AGRA843</cp:lastModifiedBy>
  <dcterms:created xsi:type="dcterms:W3CDTF">2012-02-10T15:59:23Z</dcterms:created>
  <dcterms:modified xsi:type="dcterms:W3CDTF">2012-02-20T14:19:48Z</dcterms:modified>
  <cp:category/>
  <cp:version/>
  <cp:contentType/>
  <cp:contentStatus/>
</cp:coreProperties>
</file>